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08" windowWidth="14940" windowHeight="7200" activeTab="1"/>
  </bookViews>
  <sheets>
    <sheet name="Market Hack" sheetId="6" r:id="rId1"/>
    <sheet name="Hack w Rejection" sheetId="7" r:id="rId2"/>
  </sheets>
  <calcPr calcId="145621"/>
</workbook>
</file>

<file path=xl/calcChain.xml><?xml version="1.0" encoding="utf-8"?>
<calcChain xmlns="http://schemas.openxmlformats.org/spreadsheetml/2006/main">
  <c r="E54" i="7" l="1"/>
  <c r="G52" i="7"/>
  <c r="F52" i="7"/>
  <c r="D52" i="7"/>
  <c r="F51" i="7"/>
  <c r="G51" i="7" s="1"/>
  <c r="D51" i="7"/>
  <c r="J50" i="7"/>
  <c r="K50" i="7" s="1"/>
  <c r="G50" i="7"/>
  <c r="F50" i="7"/>
  <c r="D50" i="7"/>
  <c r="F49" i="7"/>
  <c r="G49" i="7" s="1"/>
  <c r="D49" i="7"/>
  <c r="G48" i="7"/>
  <c r="F48" i="7"/>
  <c r="D48" i="7"/>
  <c r="J47" i="7"/>
  <c r="E47" i="7"/>
  <c r="K33" i="7"/>
  <c r="D25" i="7"/>
  <c r="E23" i="7"/>
  <c r="F23" i="7" s="1"/>
  <c r="E19" i="7"/>
  <c r="F19" i="7" s="1"/>
  <c r="K18" i="7"/>
  <c r="G11" i="7"/>
  <c r="F11" i="7"/>
  <c r="H11" i="7" s="1"/>
  <c r="H10" i="7"/>
  <c r="G10" i="7"/>
  <c r="F10" i="7"/>
  <c r="H9" i="7"/>
  <c r="G9" i="7"/>
  <c r="F9" i="7"/>
  <c r="G8" i="7"/>
  <c r="E20" i="7" s="1"/>
  <c r="F20" i="7" s="1"/>
  <c r="F8" i="7"/>
  <c r="H8" i="7" s="1"/>
  <c r="G7" i="7"/>
  <c r="F7" i="7"/>
  <c r="G6" i="7"/>
  <c r="E18" i="7" s="1"/>
  <c r="F6" i="7"/>
  <c r="K53" i="6"/>
  <c r="J53" i="6"/>
  <c r="H53" i="6"/>
  <c r="L53" i="6" s="1"/>
  <c r="E54" i="6"/>
  <c r="F18" i="7" l="1"/>
  <c r="E25" i="7"/>
  <c r="K20" i="7"/>
  <c r="K23" i="7"/>
  <c r="H23" i="7"/>
  <c r="D38" i="7" s="1"/>
  <c r="E38" i="7" s="1"/>
  <c r="H20" i="7"/>
  <c r="D35" i="7" s="1"/>
  <c r="E35" i="7" s="1"/>
  <c r="H26" i="7"/>
  <c r="H19" i="7"/>
  <c r="K22" i="7"/>
  <c r="E21" i="7"/>
  <c r="F21" i="7" s="1"/>
  <c r="H7" i="7"/>
  <c r="E22" i="7"/>
  <c r="F22" i="7" s="1"/>
  <c r="K21" i="7"/>
  <c r="E47" i="6"/>
  <c r="I19" i="7" l="1"/>
  <c r="I34" i="7"/>
  <c r="H48" i="7"/>
  <c r="H22" i="7"/>
  <c r="D37" i="7" s="1"/>
  <c r="E37" i="7" s="1"/>
  <c r="I20" i="7"/>
  <c r="H49" i="7"/>
  <c r="I35" i="7"/>
  <c r="H52" i="7"/>
  <c r="I38" i="7"/>
  <c r="I23" i="7"/>
  <c r="K19" i="7"/>
  <c r="K25" i="7" s="1"/>
  <c r="H21" i="7"/>
  <c r="D34" i="7"/>
  <c r="E34" i="7" s="1"/>
  <c r="H18" i="7"/>
  <c r="I18" i="7" s="1"/>
  <c r="D33" i="7"/>
  <c r="F25" i="7"/>
  <c r="F52" i="6"/>
  <c r="G52" i="6" s="1"/>
  <c r="D52" i="6"/>
  <c r="F51" i="6"/>
  <c r="G51" i="6" s="1"/>
  <c r="D51" i="6"/>
  <c r="J50" i="6"/>
  <c r="K50" i="6" s="1"/>
  <c r="F50" i="6"/>
  <c r="G50" i="6" s="1"/>
  <c r="D50" i="6"/>
  <c r="F49" i="6"/>
  <c r="G49" i="6" s="1"/>
  <c r="D49" i="6"/>
  <c r="F48" i="6"/>
  <c r="G48" i="6" s="1"/>
  <c r="D48" i="6"/>
  <c r="J47" i="6"/>
  <c r="K33" i="6"/>
  <c r="D25" i="6"/>
  <c r="K18" i="6"/>
  <c r="G11" i="6"/>
  <c r="F11" i="6"/>
  <c r="H11" i="6" s="1"/>
  <c r="K23" i="6" s="1"/>
  <c r="G10" i="6"/>
  <c r="F10" i="6"/>
  <c r="H10" i="6" s="1"/>
  <c r="G9" i="6"/>
  <c r="F9" i="6"/>
  <c r="G8" i="6"/>
  <c r="E20" i="6" s="1"/>
  <c r="F20" i="6" s="1"/>
  <c r="F8" i="6"/>
  <c r="H8" i="6" s="1"/>
  <c r="G7" i="6"/>
  <c r="F7" i="6"/>
  <c r="H7" i="6" s="1"/>
  <c r="G6" i="6"/>
  <c r="E18" i="6" s="1"/>
  <c r="F6" i="6"/>
  <c r="H25" i="7" l="1"/>
  <c r="I26" i="7" s="1"/>
  <c r="H50" i="7"/>
  <c r="H53" i="7" s="1"/>
  <c r="I21" i="7"/>
  <c r="I36" i="7"/>
  <c r="J48" i="7"/>
  <c r="J49" i="7" s="1"/>
  <c r="J51" i="7" s="1"/>
  <c r="J53" i="7" s="1"/>
  <c r="K34" i="7"/>
  <c r="K35" i="7" s="1"/>
  <c r="K37" i="7" s="1"/>
  <c r="I22" i="7"/>
  <c r="H51" i="7"/>
  <c r="I37" i="7"/>
  <c r="D39" i="7"/>
  <c r="E33" i="7"/>
  <c r="D36" i="7"/>
  <c r="E36" i="7" s="1"/>
  <c r="I39" i="7"/>
  <c r="K38" i="7" s="1"/>
  <c r="H20" i="6"/>
  <c r="F18" i="6"/>
  <c r="K20" i="6"/>
  <c r="H9" i="6"/>
  <c r="E19" i="6"/>
  <c r="F19" i="6" s="1"/>
  <c r="E21" i="6"/>
  <c r="F21" i="6" s="1"/>
  <c r="E23" i="6"/>
  <c r="F23" i="6" s="1"/>
  <c r="E22" i="6"/>
  <c r="F22" i="6" s="1"/>
  <c r="K19" i="6"/>
  <c r="K22" i="6"/>
  <c r="J21" i="7" l="1"/>
  <c r="E39" i="7"/>
  <c r="F36" i="7" s="1"/>
  <c r="I25" i="7"/>
  <c r="H22" i="6"/>
  <c r="D37" i="6" s="1"/>
  <c r="E37" i="6" s="1"/>
  <c r="H21" i="6"/>
  <c r="D36" i="6" s="1"/>
  <c r="E36" i="6" s="1"/>
  <c r="H18" i="6"/>
  <c r="I18" i="6" s="1"/>
  <c r="F25" i="6"/>
  <c r="K21" i="6"/>
  <c r="K25" i="6" s="1"/>
  <c r="I35" i="6"/>
  <c r="H49" i="6"/>
  <c r="I20" i="6"/>
  <c r="H26" i="6"/>
  <c r="H19" i="6"/>
  <c r="D34" i="6" s="1"/>
  <c r="E34" i="6" s="1"/>
  <c r="E25" i="6"/>
  <c r="H23" i="6"/>
  <c r="D38" i="6" s="1"/>
  <c r="E38" i="6" s="1"/>
  <c r="D35" i="6"/>
  <c r="E35" i="6" s="1"/>
  <c r="H36" i="7" l="1"/>
  <c r="G36" i="7"/>
  <c r="J25" i="7"/>
  <c r="J19" i="7"/>
  <c r="J23" i="7"/>
  <c r="J20" i="7"/>
  <c r="K47" i="7"/>
  <c r="L33" i="7"/>
  <c r="F40" i="7"/>
  <c r="F35" i="7"/>
  <c r="F38" i="7"/>
  <c r="F37" i="7"/>
  <c r="F34" i="7"/>
  <c r="F33" i="7"/>
  <c r="J22" i="7"/>
  <c r="D33" i="6"/>
  <c r="D39" i="6" s="1"/>
  <c r="K34" i="6"/>
  <c r="K35" i="6" s="1"/>
  <c r="K37" i="6" s="1"/>
  <c r="J48" i="6"/>
  <c r="J49" i="6" s="1"/>
  <c r="J51" i="6" s="1"/>
  <c r="H48" i="6"/>
  <c r="I19" i="6"/>
  <c r="H25" i="6"/>
  <c r="I26" i="6" s="1"/>
  <c r="I34" i="6"/>
  <c r="H52" i="6"/>
  <c r="I38" i="6"/>
  <c r="I23" i="6"/>
  <c r="H51" i="6"/>
  <c r="I22" i="6"/>
  <c r="I37" i="6"/>
  <c r="H50" i="6"/>
  <c r="I21" i="6"/>
  <c r="I36" i="6"/>
  <c r="H38" i="7" l="1"/>
  <c r="G38" i="7"/>
  <c r="H35" i="7"/>
  <c r="G35" i="7"/>
  <c r="G37" i="7"/>
  <c r="H37" i="7"/>
  <c r="H33" i="7"/>
  <c r="F39" i="7"/>
  <c r="G34" i="7"/>
  <c r="H34" i="7"/>
  <c r="E33" i="6"/>
  <c r="E39" i="6" s="1"/>
  <c r="F33" i="6" s="1"/>
  <c r="I25" i="6"/>
  <c r="J23" i="6" s="1"/>
  <c r="I39" i="6"/>
  <c r="K38" i="6" s="1"/>
  <c r="G39" i="7" l="1"/>
  <c r="H39" i="7"/>
  <c r="H33" i="6"/>
  <c r="J25" i="6"/>
  <c r="J20" i="6"/>
  <c r="K47" i="6"/>
  <c r="F40" i="6"/>
  <c r="L33" i="6"/>
  <c r="F36" i="6"/>
  <c r="F38" i="6"/>
  <c r="F34" i="6"/>
  <c r="F37" i="6"/>
  <c r="F35" i="6"/>
  <c r="J19" i="6"/>
  <c r="J22" i="6"/>
  <c r="J21" i="6"/>
  <c r="L34" i="7" l="1"/>
  <c r="L35" i="7" s="1"/>
  <c r="K39" i="7" s="1"/>
  <c r="K40" i="7" s="1"/>
  <c r="K48" i="7"/>
  <c r="K49" i="7" s="1"/>
  <c r="K51" i="7" s="1"/>
  <c r="K53" i="7" s="1"/>
  <c r="L53" i="7" s="1"/>
  <c r="H34" i="6"/>
  <c r="G34" i="6"/>
  <c r="H38" i="6"/>
  <c r="G38" i="6"/>
  <c r="G35" i="6"/>
  <c r="H35" i="6"/>
  <c r="G36" i="6"/>
  <c r="H36" i="6"/>
  <c r="G37" i="6"/>
  <c r="H37" i="6"/>
  <c r="F39" i="6"/>
  <c r="G39" i="6" l="1"/>
  <c r="H39" i="6"/>
  <c r="L34" i="6" s="1"/>
  <c r="L35" i="6" s="1"/>
  <c r="K39" i="6" s="1"/>
  <c r="K40" i="6" s="1"/>
  <c r="K48" i="6" l="1"/>
  <c r="K49" i="6" s="1"/>
  <c r="K51" i="6" s="1"/>
</calcChain>
</file>

<file path=xl/sharedStrings.xml><?xml version="1.0" encoding="utf-8"?>
<sst xmlns="http://schemas.openxmlformats.org/spreadsheetml/2006/main" count="290" uniqueCount="107">
  <si>
    <t>Available</t>
  </si>
  <si>
    <t>GPM</t>
  </si>
  <si>
    <t>Gal/day</t>
  </si>
  <si>
    <t>Mol%</t>
  </si>
  <si>
    <t>gal/ lb-mol</t>
  </si>
  <si>
    <t>estimated</t>
  </si>
  <si>
    <t>% recovery</t>
  </si>
  <si>
    <t>Gal / Day</t>
  </si>
  <si>
    <t xml:space="preserve">Gross </t>
  </si>
  <si>
    <t>BTU /ft^3</t>
  </si>
  <si>
    <t>Feed Gas</t>
  </si>
  <si>
    <t>BTU/ Gal</t>
  </si>
  <si>
    <t>Inlet Volume (MMCFD)</t>
  </si>
  <si>
    <t>Liquids</t>
  </si>
  <si>
    <t>BBL/D</t>
  </si>
  <si>
    <t>Ethane</t>
  </si>
  <si>
    <t>Propane</t>
  </si>
  <si>
    <t>Isobutane</t>
  </si>
  <si>
    <t>Normal Butane</t>
  </si>
  <si>
    <t>Pentanes+</t>
  </si>
  <si>
    <t>Methane</t>
  </si>
  <si>
    <t>%</t>
  </si>
  <si>
    <t>gal liquid</t>
  </si>
  <si>
    <t>ft3 gas/</t>
  </si>
  <si>
    <t>Gallons per MCF (GPM)</t>
  </si>
  <si>
    <t>Compound</t>
  </si>
  <si>
    <t>Inerts (N, CO2)</t>
  </si>
  <si>
    <t>(a)</t>
  </si>
  <si>
    <t>(b)</t>
  </si>
  <si>
    <t>(c)</t>
  </si>
  <si>
    <t>(d)</t>
  </si>
  <si>
    <t xml:space="preserve">(e) </t>
  </si>
  <si>
    <t>(f)</t>
  </si>
  <si>
    <t>Cu. Ft/lb mole</t>
  </si>
  <si>
    <t>BTU</t>
  </si>
  <si>
    <t>Natural Gasoline</t>
  </si>
  <si>
    <t xml:space="preserve">Residue </t>
  </si>
  <si>
    <t>Residue</t>
  </si>
  <si>
    <t>MMCF/D</t>
  </si>
  <si>
    <t>Cnts/gal</t>
  </si>
  <si>
    <t>$/gal</t>
  </si>
  <si>
    <t>$/Mmbtu</t>
  </si>
  <si>
    <t xml:space="preserve">Product </t>
  </si>
  <si>
    <t>Value $/day</t>
  </si>
  <si>
    <t>Product Prices</t>
  </si>
  <si>
    <t>Inlet</t>
  </si>
  <si>
    <t>Outlet</t>
  </si>
  <si>
    <t>Gas Value</t>
  </si>
  <si>
    <t>Per Day</t>
  </si>
  <si>
    <t>Less T&amp;F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</si>
  <si>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</si>
  <si>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</si>
  <si>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</si>
  <si>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</si>
  <si>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</si>
  <si>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</si>
  <si>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</si>
  <si>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</si>
  <si>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</si>
  <si>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Table #2</t>
  </si>
  <si>
    <t>Table #3</t>
  </si>
  <si>
    <t>Table #4</t>
  </si>
  <si>
    <t>MBTU/MCF</t>
  </si>
  <si>
    <t>% of CF</t>
  </si>
  <si>
    <t>in Residue</t>
  </si>
  <si>
    <t>Srinkage Volume (MMCFD)</t>
  </si>
  <si>
    <t>Gross HV</t>
  </si>
  <si>
    <t>BTU Value</t>
  </si>
  <si>
    <t>of NGLs</t>
  </si>
  <si>
    <t>Balance</t>
  </si>
  <si>
    <t>J</t>
  </si>
  <si>
    <t>K</t>
  </si>
  <si>
    <t>L</t>
  </si>
  <si>
    <t>M</t>
  </si>
  <si>
    <t>N</t>
  </si>
  <si>
    <t>O</t>
  </si>
  <si>
    <t>P</t>
  </si>
  <si>
    <t>Q</t>
  </si>
  <si>
    <t>Voume MCF/d</t>
  </si>
  <si>
    <t>Volume MBTU/d</t>
  </si>
  <si>
    <t>Inlet BTU/d</t>
  </si>
  <si>
    <t>Outlet NGLs/d</t>
  </si>
  <si>
    <t>Outlet BTU/d</t>
  </si>
  <si>
    <t>Value/d</t>
  </si>
  <si>
    <t>Table #1</t>
  </si>
  <si>
    <t>Standard Factors</t>
  </si>
  <si>
    <t>Total</t>
  </si>
  <si>
    <t>This model developed by RBN Energy, LLC</t>
  </si>
  <si>
    <t>E. Russell Braziel</t>
  </si>
  <si>
    <t>RBN Energy, LLC</t>
  </si>
  <si>
    <t>3333 Allen Parkway, Suite 1807</t>
  </si>
  <si>
    <t>Houston, TX, 77019</t>
  </si>
  <si>
    <t xml:space="preserve">888-400-9838 (office)  </t>
  </si>
  <si>
    <t>713-391-8421 (fax)</t>
  </si>
  <si>
    <t>903-881-9260 (direct)</t>
  </si>
  <si>
    <t>Model developed by RBN Energy, LLC</t>
  </si>
  <si>
    <t>www.rbnenergy.com</t>
  </si>
  <si>
    <t>Net Value</t>
  </si>
  <si>
    <t>Volume MMBTU/d</t>
  </si>
  <si>
    <t>Price/MMBTU</t>
  </si>
  <si>
    <t>Ethane Rejection Value</t>
    <phoneticPr fontId="0" type="noConversion"/>
  </si>
  <si>
    <t>Liquids Quantities for  Hack</t>
  </si>
  <si>
    <t xml:space="preserve">           Table #3 - Residue Gas from Hack</t>
  </si>
  <si>
    <t>Natural Gas Processing Value Calculation - Hack</t>
  </si>
  <si>
    <t>Liquids Quantities for  Hack (Rejection)</t>
  </si>
  <si>
    <t xml:space="preserve">           Table #3 - Residue Gas from Hack (Rejection)</t>
  </si>
  <si>
    <t>Natural Gas Processing Value Calculation - Hack (Rejection)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</si>
</sst>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* #,##0.0000_);_(* \(#,##0.0000\);_(* &quot;-&quot;??_);_(@_)"/>
    <numFmt numFmtId="167" formatCode="_(* #,##0.000_);_(* \(#,##0.000\);_(* &quot;-&quot;??_);_(@_)"/>
    <numFmt numFmtId="168" formatCode="_(* #,##0.0_);_(* \(#,##0.0\);_(* &quot;-&quot;??_);_(@_)"/>
    <numFmt numFmtId="169" formatCode="_(&quot;$&quot;* #,##0_);_(&quot;$&quot;* \(#,##0\);_(&quot;$&quot;* &quot;-&quot;??_);_(@_)"/>
    <numFmt numFmtId="170" formatCode="_(* #,##0.00000_);_(* \(#,##0.00000\);_(* &quot;-&quot;??_);_(@_)"/>
    <numFmt numFmtId="171" formatCode="_(* #,##0.000000_);_(* \(#,##0.000000\);_(* &quot;-&quot;??_);_(@_)"/>
    <numFmt numFmtId="172" formatCode="_(* #,##0.0000000_);_(* \(#,##0.0000000\);_(* &quot;-&quot;??_);_(@_)"/>
    <numFmt numFmtId="173" formatCode="[$-409]mmmm\ d\,\ yyyy;@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4"/>
      <color rgb="FF7030A0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DD2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1" applyFont="1" applyAlignment="1">
      <alignment horizontal="center"/>
    </xf>
    <xf numFmtId="165" fontId="0" fillId="0" borderId="0" xfId="0" applyNumberFormat="1"/>
    <xf numFmtId="43" fontId="0" fillId="0" borderId="0" xfId="0" applyNumberFormat="1"/>
    <xf numFmtId="166" fontId="4" fillId="4" borderId="1" xfId="2" applyNumberFormat="1" applyFont="1" applyFill="1" applyBorder="1" applyAlignment="1">
      <alignment horizontal="center"/>
    </xf>
    <xf numFmtId="43" fontId="4" fillId="0" borderId="1" xfId="2" applyFont="1" applyBorder="1"/>
    <xf numFmtId="165" fontId="4" fillId="0" borderId="7" xfId="2" applyNumberFormat="1" applyFont="1" applyBorder="1" applyAlignment="1">
      <alignment horizontal="center"/>
    </xf>
    <xf numFmtId="9" fontId="4" fillId="3" borderId="1" xfId="1" applyNumberFormat="1" applyFont="1" applyFill="1" applyBorder="1" applyAlignment="1">
      <alignment horizontal="center"/>
    </xf>
    <xf numFmtId="9" fontId="4" fillId="0" borderId="1" xfId="3" applyFont="1" applyBorder="1" applyAlignment="1">
      <alignment horizontal="center"/>
    </xf>
    <xf numFmtId="165" fontId="4" fillId="0" borderId="6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9" fontId="4" fillId="3" borderId="2" xfId="1" applyNumberFormat="1" applyFont="1" applyFill="1" applyBorder="1" applyAlignment="1">
      <alignment horizontal="center"/>
    </xf>
    <xf numFmtId="165" fontId="4" fillId="0" borderId="8" xfId="2" applyNumberFormat="1" applyFont="1" applyBorder="1" applyAlignment="1">
      <alignment horizontal="center"/>
    </xf>
    <xf numFmtId="9" fontId="4" fillId="0" borderId="2" xfId="3" applyFont="1" applyBorder="1" applyAlignment="1">
      <alignment horizontal="center"/>
    </xf>
    <xf numFmtId="165" fontId="4" fillId="0" borderId="14" xfId="2" applyNumberFormat="1" applyFont="1" applyFill="1" applyBorder="1" applyAlignment="1">
      <alignment horizontal="center"/>
    </xf>
    <xf numFmtId="166" fontId="4" fillId="4" borderId="16" xfId="2" applyNumberFormat="1" applyFont="1" applyFill="1" applyBorder="1" applyAlignment="1">
      <alignment horizontal="center"/>
    </xf>
    <xf numFmtId="43" fontId="4" fillId="0" borderId="16" xfId="2" applyFont="1" applyBorder="1"/>
    <xf numFmtId="165" fontId="4" fillId="0" borderId="17" xfId="2" applyNumberFormat="1" applyFont="1" applyFill="1" applyBorder="1" applyAlignment="1">
      <alignment horizontal="center"/>
    </xf>
    <xf numFmtId="166" fontId="4" fillId="4" borderId="3" xfId="2" applyNumberFormat="1" applyFont="1" applyFill="1" applyBorder="1" applyAlignment="1">
      <alignment horizontal="center"/>
    </xf>
    <xf numFmtId="43" fontId="4" fillId="0" borderId="3" xfId="2" applyFont="1" applyBorder="1"/>
    <xf numFmtId="165" fontId="4" fillId="5" borderId="13" xfId="2" applyNumberFormat="1" applyFont="1" applyFill="1" applyBorder="1" applyAlignment="1">
      <alignment horizontal="center"/>
    </xf>
    <xf numFmtId="165" fontId="4" fillId="0" borderId="2" xfId="2" applyNumberFormat="1" applyFont="1" applyBorder="1" applyAlignment="1">
      <alignment horizontal="right"/>
    </xf>
    <xf numFmtId="165" fontId="4" fillId="0" borderId="1" xfId="2" applyNumberFormat="1" applyFont="1" applyBorder="1" applyAlignment="1">
      <alignment horizontal="right"/>
    </xf>
    <xf numFmtId="38" fontId="5" fillId="0" borderId="22" xfId="1" applyNumberFormat="1" applyFont="1" applyBorder="1"/>
    <xf numFmtId="38" fontId="5" fillId="0" borderId="21" xfId="1" applyNumberFormat="1" applyFont="1" applyBorder="1"/>
    <xf numFmtId="165" fontId="4" fillId="4" borderId="12" xfId="2" applyNumberFormat="1" applyFont="1" applyFill="1" applyBorder="1" applyAlignment="1">
      <alignment horizontal="center"/>
    </xf>
    <xf numFmtId="165" fontId="4" fillId="4" borderId="23" xfId="2" applyNumberFormat="1" applyFont="1" applyFill="1" applyBorder="1" applyAlignment="1">
      <alignment horizontal="center"/>
    </xf>
    <xf numFmtId="165" fontId="4" fillId="4" borderId="24" xfId="2" applyNumberFormat="1" applyFont="1" applyFill="1" applyBorder="1" applyAlignment="1">
      <alignment horizontal="center"/>
    </xf>
    <xf numFmtId="9" fontId="4" fillId="3" borderId="3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0" fontId="6" fillId="2" borderId="27" xfId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27" xfId="1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28" xfId="1" applyFont="1" applyFill="1" applyBorder="1" applyAlignment="1">
      <alignment horizontal="center"/>
    </xf>
    <xf numFmtId="164" fontId="6" fillId="2" borderId="18" xfId="1" applyNumberFormat="1" applyFont="1" applyFill="1" applyBorder="1" applyAlignment="1">
      <alignment horizontal="center"/>
    </xf>
    <xf numFmtId="164" fontId="6" fillId="2" borderId="28" xfId="1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64" fontId="6" fillId="2" borderId="20" xfId="1" applyNumberFormat="1" applyFont="1" applyFill="1" applyBorder="1" applyAlignment="1">
      <alignment horizontal="center"/>
    </xf>
    <xf numFmtId="43" fontId="4" fillId="0" borderId="1" xfId="2" applyNumberFormat="1" applyFont="1" applyFill="1" applyBorder="1" applyAlignment="1">
      <alignment horizontal="center"/>
    </xf>
    <xf numFmtId="0" fontId="0" fillId="0" borderId="0" xfId="2" applyNumberFormat="1" applyFont="1" applyAlignment="1">
      <alignment horizontal="center"/>
    </xf>
    <xf numFmtId="0" fontId="0" fillId="6" borderId="0" xfId="1" applyFont="1" applyFill="1" applyAlignment="1">
      <alignment horizontal="center"/>
    </xf>
    <xf numFmtId="43" fontId="4" fillId="3" borderId="4" xfId="2" applyFont="1" applyFill="1" applyBorder="1" applyAlignment="1">
      <alignment horizontal="center"/>
    </xf>
    <xf numFmtId="43" fontId="4" fillId="3" borderId="31" xfId="2" applyFont="1" applyFill="1" applyBorder="1" applyAlignment="1">
      <alignment horizontal="center"/>
    </xf>
    <xf numFmtId="43" fontId="4" fillId="0" borderId="31" xfId="2" applyFont="1" applyBorder="1"/>
    <xf numFmtId="0" fontId="4" fillId="0" borderId="0" xfId="0" applyFont="1" applyBorder="1"/>
    <xf numFmtId="43" fontId="4" fillId="3" borderId="0" xfId="2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/>
    </xf>
    <xf numFmtId="165" fontId="4" fillId="0" borderId="13" xfId="2" applyNumberFormat="1" applyFont="1" applyBorder="1" applyAlignment="1">
      <alignment horizontal="center"/>
    </xf>
    <xf numFmtId="165" fontId="4" fillId="0" borderId="14" xfId="2" applyNumberFormat="1" applyFont="1" applyBorder="1" applyAlignment="1">
      <alignment horizontal="center"/>
    </xf>
    <xf numFmtId="165" fontId="4" fillId="0" borderId="33" xfId="2" applyNumberFormat="1" applyFont="1" applyBorder="1" applyAlignment="1">
      <alignment horizontal="center"/>
    </xf>
    <xf numFmtId="0" fontId="4" fillId="0" borderId="32" xfId="0" applyFont="1" applyBorder="1"/>
    <xf numFmtId="0" fontId="4" fillId="0" borderId="34" xfId="0" applyFont="1" applyBorder="1"/>
    <xf numFmtId="0" fontId="4" fillId="0" borderId="28" xfId="0" applyFont="1" applyBorder="1"/>
    <xf numFmtId="3" fontId="4" fillId="0" borderId="3" xfId="1" applyNumberFormat="1" applyFont="1" applyFill="1" applyBorder="1"/>
    <xf numFmtId="0" fontId="4" fillId="0" borderId="12" xfId="2" applyNumberFormat="1" applyFont="1" applyBorder="1" applyAlignment="1">
      <alignment horizontal="center"/>
    </xf>
    <xf numFmtId="0" fontId="4" fillId="0" borderId="3" xfId="2" applyNumberFormat="1" applyFont="1" applyBorder="1" applyAlignment="1">
      <alignment horizontal="center"/>
    </xf>
    <xf numFmtId="0" fontId="4" fillId="0" borderId="13" xfId="2" applyNumberFormat="1" applyFont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1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0" fontId="6" fillId="3" borderId="21" xfId="0" applyFont="1" applyFill="1" applyBorder="1"/>
    <xf numFmtId="167" fontId="4" fillId="4" borderId="4" xfId="2" applyNumberFormat="1" applyFont="1" applyFill="1" applyBorder="1" applyAlignment="1">
      <alignment horizontal="center"/>
    </xf>
    <xf numFmtId="38" fontId="7" fillId="3" borderId="23" xfId="1" applyNumberFormat="1" applyFont="1" applyFill="1" applyBorder="1"/>
    <xf numFmtId="38" fontId="7" fillId="7" borderId="21" xfId="1" applyNumberFormat="1" applyFont="1" applyFill="1" applyBorder="1"/>
    <xf numFmtId="43" fontId="4" fillId="8" borderId="0" xfId="2" applyNumberFormat="1" applyFont="1" applyFill="1" applyBorder="1" applyAlignment="1">
      <alignment horizontal="center"/>
    </xf>
    <xf numFmtId="0" fontId="0" fillId="0" borderId="0" xfId="0"/>
    <xf numFmtId="0" fontId="0" fillId="6" borderId="0" xfId="0" applyFill="1"/>
    <xf numFmtId="166" fontId="4" fillId="0" borderId="1" xfId="6" applyNumberFormat="1" applyFont="1" applyBorder="1" applyAlignment="1">
      <alignment horizontal="center"/>
    </xf>
    <xf numFmtId="166" fontId="9" fillId="9" borderId="1" xfId="6" applyNumberFormat="1" applyFont="1" applyFill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38" fontId="7" fillId="7" borderId="46" xfId="1" applyNumberFormat="1" applyFont="1" applyFill="1" applyBorder="1"/>
    <xf numFmtId="0" fontId="6" fillId="2" borderId="47" xfId="1" applyFont="1" applyFill="1" applyBorder="1" applyAlignment="1">
      <alignment horizontal="center"/>
    </xf>
    <xf numFmtId="0" fontId="4" fillId="3" borderId="32" xfId="1" applyFont="1" applyFill="1" applyBorder="1" applyAlignment="1">
      <alignment horizontal="center"/>
    </xf>
    <xf numFmtId="165" fontId="4" fillId="8" borderId="42" xfId="2" applyNumberFormat="1" applyFont="1" applyFill="1" applyBorder="1"/>
    <xf numFmtId="0" fontId="4" fillId="0" borderId="19" xfId="2" applyNumberFormat="1" applyFont="1" applyBorder="1" applyAlignment="1">
      <alignment horizontal="center"/>
    </xf>
    <xf numFmtId="0" fontId="4" fillId="0" borderId="18" xfId="2" applyNumberFormat="1" applyFont="1" applyBorder="1" applyAlignment="1">
      <alignment horizontal="center"/>
    </xf>
    <xf numFmtId="0" fontId="4" fillId="0" borderId="20" xfId="2" applyNumberFormat="1" applyFont="1" applyBorder="1" applyAlignment="1">
      <alignment horizontal="center"/>
    </xf>
    <xf numFmtId="166" fontId="4" fillId="0" borderId="16" xfId="6" applyNumberFormat="1" applyFont="1" applyBorder="1" applyAlignment="1">
      <alignment horizontal="center"/>
    </xf>
    <xf numFmtId="170" fontId="4" fillId="0" borderId="29" xfId="0" applyNumberFormat="1" applyFont="1" applyBorder="1"/>
    <xf numFmtId="169" fontId="4" fillId="0" borderId="43" xfId="4" applyNumberFormat="1" applyFont="1" applyBorder="1" applyAlignment="1">
      <alignment horizontal="center"/>
    </xf>
    <xf numFmtId="44" fontId="4" fillId="0" borderId="0" xfId="1" applyNumberFormat="1" applyFont="1" applyBorder="1" applyAlignment="1">
      <alignment horizontal="center"/>
    </xf>
    <xf numFmtId="165" fontId="4" fillId="0" borderId="29" xfId="2" applyNumberFormat="1" applyFont="1" applyBorder="1" applyAlignment="1">
      <alignment horizontal="center"/>
    </xf>
    <xf numFmtId="44" fontId="4" fillId="0" borderId="29" xfId="4" applyFont="1" applyBorder="1" applyAlignment="1">
      <alignment horizontal="center"/>
    </xf>
    <xf numFmtId="169" fontId="4" fillId="0" borderId="3" xfId="4" applyNumberFormat="1" applyFont="1" applyBorder="1" applyAlignment="1">
      <alignment horizontal="center"/>
    </xf>
    <xf numFmtId="0" fontId="4" fillId="0" borderId="29" xfId="1" applyFont="1" applyBorder="1" applyAlignment="1">
      <alignment horizontal="center"/>
    </xf>
    <xf numFmtId="166" fontId="9" fillId="9" borderId="3" xfId="6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4" fontId="6" fillId="2" borderId="16" xfId="1" applyNumberFormat="1" applyFont="1" applyFill="1" applyBorder="1" applyAlignment="1">
      <alignment horizontal="center"/>
    </xf>
    <xf numFmtId="164" fontId="6" fillId="2" borderId="32" xfId="1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10" fillId="2" borderId="18" xfId="8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8" fontId="4" fillId="0" borderId="0" xfId="0" applyNumberFormat="1" applyFont="1" applyBorder="1"/>
    <xf numFmtId="0" fontId="4" fillId="6" borderId="44" xfId="0" applyFont="1" applyFill="1" applyBorder="1"/>
    <xf numFmtId="0" fontId="4" fillId="6" borderId="45" xfId="0" applyFont="1" applyFill="1" applyBorder="1"/>
    <xf numFmtId="0" fontId="4" fillId="6" borderId="38" xfId="0" applyFont="1" applyFill="1" applyBorder="1"/>
    <xf numFmtId="166" fontId="6" fillId="2" borderId="49" xfId="0" applyNumberFormat="1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0" fillId="0" borderId="8" xfId="0" applyBorder="1"/>
    <xf numFmtId="169" fontId="4" fillId="0" borderId="8" xfId="4" applyNumberFormat="1" applyFont="1" applyBorder="1"/>
    <xf numFmtId="0" fontId="4" fillId="0" borderId="22" xfId="1" applyFont="1" applyBorder="1" applyAlignment="1">
      <alignment horizontal="center"/>
    </xf>
    <xf numFmtId="0" fontId="4" fillId="0" borderId="48" xfId="1" applyFont="1" applyBorder="1" applyAlignment="1">
      <alignment horizontal="center"/>
    </xf>
    <xf numFmtId="0" fontId="4" fillId="0" borderId="53" xfId="2" applyNumberFormat="1" applyFont="1" applyBorder="1" applyAlignment="1">
      <alignment horizontal="center"/>
    </xf>
    <xf numFmtId="0" fontId="0" fillId="0" borderId="22" xfId="0" applyBorder="1"/>
    <xf numFmtId="0" fontId="4" fillId="0" borderId="23" xfId="0" applyFont="1" applyBorder="1"/>
    <xf numFmtId="167" fontId="4" fillId="0" borderId="29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0" fillId="0" borderId="46" xfId="0" applyBorder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35" xfId="0" applyFont="1" applyBorder="1" applyAlignment="1"/>
    <xf numFmtId="0" fontId="6" fillId="0" borderId="27" xfId="0" applyFont="1" applyBorder="1"/>
    <xf numFmtId="0" fontId="6" fillId="2" borderId="25" xfId="1" applyFont="1" applyFill="1" applyBorder="1" applyAlignment="1">
      <alignment horizontal="center"/>
    </xf>
    <xf numFmtId="169" fontId="4" fillId="8" borderId="42" xfId="4" applyNumberFormat="1" applyFont="1" applyFill="1" applyBorder="1"/>
    <xf numFmtId="166" fontId="4" fillId="0" borderId="2" xfId="6" applyNumberFormat="1" applyFont="1" applyBorder="1" applyAlignment="1">
      <alignment horizontal="center"/>
    </xf>
    <xf numFmtId="0" fontId="4" fillId="0" borderId="29" xfId="2" applyNumberFormat="1" applyFont="1" applyBorder="1" applyAlignment="1">
      <alignment horizontal="center"/>
    </xf>
    <xf numFmtId="0" fontId="4" fillId="0" borderId="30" xfId="2" applyNumberFormat="1" applyFont="1" applyBorder="1" applyAlignment="1">
      <alignment horizontal="center"/>
    </xf>
    <xf numFmtId="164" fontId="6" fillId="2" borderId="10" xfId="5" applyNumberFormat="1" applyFont="1" applyFill="1" applyBorder="1" applyAlignment="1">
      <alignment horizontal="center"/>
    </xf>
    <xf numFmtId="166" fontId="4" fillId="0" borderId="28" xfId="6" applyNumberFormat="1" applyFont="1" applyBorder="1" applyAlignment="1">
      <alignment horizontal="center"/>
    </xf>
    <xf numFmtId="164" fontId="6" fillId="2" borderId="55" xfId="5" applyNumberFormat="1" applyFont="1" applyFill="1" applyBorder="1" applyAlignment="1">
      <alignment horizontal="center"/>
    </xf>
    <xf numFmtId="165" fontId="4" fillId="0" borderId="23" xfId="6" applyNumberFormat="1" applyFont="1" applyBorder="1" applyAlignment="1">
      <alignment horizontal="center"/>
    </xf>
    <xf numFmtId="165" fontId="4" fillId="0" borderId="56" xfId="6" applyNumberFormat="1" applyFont="1" applyBorder="1" applyAlignment="1">
      <alignment horizontal="center"/>
    </xf>
    <xf numFmtId="0" fontId="4" fillId="0" borderId="50" xfId="0" applyFont="1" applyBorder="1"/>
    <xf numFmtId="164" fontId="6" fillId="2" borderId="49" xfId="5" applyNumberFormat="1" applyFont="1" applyFill="1" applyBorder="1" applyAlignment="1">
      <alignment horizontal="center"/>
    </xf>
    <xf numFmtId="166" fontId="4" fillId="0" borderId="7" xfId="6" applyNumberFormat="1" applyFont="1" applyBorder="1" applyAlignment="1">
      <alignment horizontal="center"/>
    </xf>
    <xf numFmtId="166" fontId="4" fillId="0" borderId="3" xfId="6" applyNumberFormat="1" applyFont="1" applyBorder="1" applyAlignment="1">
      <alignment horizontal="center"/>
    </xf>
    <xf numFmtId="167" fontId="4" fillId="0" borderId="29" xfId="2" applyNumberFormat="1" applyFont="1" applyBorder="1" applyAlignment="1">
      <alignment horizontal="center"/>
    </xf>
    <xf numFmtId="164" fontId="6" fillId="2" borderId="17" xfId="1" applyNumberFormat="1" applyFont="1" applyFill="1" applyBorder="1" applyAlignment="1">
      <alignment horizontal="center"/>
    </xf>
    <xf numFmtId="165" fontId="4" fillId="0" borderId="37" xfId="2" applyNumberFormat="1" applyFont="1" applyBorder="1" applyAlignment="1">
      <alignment horizontal="center"/>
    </xf>
    <xf numFmtId="167" fontId="4" fillId="0" borderId="37" xfId="2" applyNumberFormat="1" applyFont="1" applyBorder="1" applyAlignment="1">
      <alignment horizontal="center"/>
    </xf>
    <xf numFmtId="44" fontId="4" fillId="0" borderId="37" xfId="1" applyNumberFormat="1" applyFont="1" applyBorder="1" applyAlignment="1">
      <alignment horizontal="center"/>
    </xf>
    <xf numFmtId="165" fontId="4" fillId="0" borderId="12" xfId="6" applyNumberFormat="1" applyFont="1" applyBorder="1" applyAlignment="1">
      <alignment horizontal="center"/>
    </xf>
    <xf numFmtId="166" fontId="9" fillId="9" borderId="6" xfId="6" applyNumberFormat="1" applyFont="1" applyFill="1" applyBorder="1" applyAlignment="1">
      <alignment horizontal="center"/>
    </xf>
    <xf numFmtId="164" fontId="6" fillId="2" borderId="15" xfId="5" applyNumberFormat="1" applyFont="1" applyFill="1" applyBorder="1" applyAlignment="1">
      <alignment horizontal="center"/>
    </xf>
    <xf numFmtId="164" fontId="6" fillId="2" borderId="18" xfId="5" applyNumberFormat="1" applyFont="1" applyFill="1" applyBorder="1" applyAlignment="1">
      <alignment horizontal="center"/>
    </xf>
    <xf numFmtId="164" fontId="6" fillId="2" borderId="53" xfId="5" applyNumberFormat="1" applyFont="1" applyFill="1" applyBorder="1" applyAlignment="1">
      <alignment horizontal="center"/>
    </xf>
    <xf numFmtId="37" fontId="4" fillId="8" borderId="34" xfId="4" applyNumberFormat="1" applyFont="1" applyFill="1" applyBorder="1"/>
    <xf numFmtId="37" fontId="4" fillId="8" borderId="58" xfId="4" applyNumberFormat="1" applyFont="1" applyFill="1" applyBorder="1"/>
    <xf numFmtId="169" fontId="4" fillId="8" borderId="50" xfId="4" applyNumberFormat="1" applyFont="1" applyFill="1" applyBorder="1"/>
    <xf numFmtId="0" fontId="4" fillId="0" borderId="8" xfId="2" applyNumberFormat="1" applyFont="1" applyFill="1" applyBorder="1" applyAlignment="1">
      <alignment horizontal="center"/>
    </xf>
    <xf numFmtId="43" fontId="4" fillId="10" borderId="1" xfId="2" applyNumberFormat="1" applyFont="1" applyFill="1" applyBorder="1" applyAlignment="1">
      <alignment horizontal="center"/>
    </xf>
    <xf numFmtId="165" fontId="4" fillId="10" borderId="1" xfId="2" applyNumberFormat="1" applyFont="1" applyFill="1" applyBorder="1" applyAlignment="1">
      <alignment horizontal="center"/>
    </xf>
    <xf numFmtId="9" fontId="4" fillId="10" borderId="1" xfId="1" applyNumberFormat="1" applyFont="1" applyFill="1" applyBorder="1" applyAlignment="1">
      <alignment horizontal="center"/>
    </xf>
    <xf numFmtId="165" fontId="4" fillId="10" borderId="1" xfId="2" applyNumberFormat="1" applyFont="1" applyFill="1" applyBorder="1" applyAlignment="1">
      <alignment horizontal="right"/>
    </xf>
    <xf numFmtId="9" fontId="4" fillId="10" borderId="1" xfId="3" applyFont="1" applyFill="1" applyBorder="1" applyAlignment="1">
      <alignment horizontal="center"/>
    </xf>
    <xf numFmtId="165" fontId="4" fillId="10" borderId="33" xfId="2" applyNumberFormat="1" applyFont="1" applyFill="1" applyBorder="1" applyAlignment="1">
      <alignment horizontal="center"/>
    </xf>
    <xf numFmtId="0" fontId="4" fillId="10" borderId="28" xfId="0" applyFont="1" applyFill="1" applyBorder="1"/>
    <xf numFmtId="0" fontId="4" fillId="10" borderId="36" xfId="0" applyFont="1" applyFill="1" applyBorder="1"/>
    <xf numFmtId="38" fontId="4" fillId="10" borderId="19" xfId="1" applyNumberFormat="1" applyFont="1" applyFill="1" applyBorder="1" applyAlignment="1">
      <alignment horizontal="center"/>
    </xf>
    <xf numFmtId="0" fontId="4" fillId="6" borderId="28" xfId="2" applyNumberFormat="1" applyFont="1" applyFill="1" applyBorder="1" applyAlignment="1">
      <alignment horizontal="center"/>
    </xf>
    <xf numFmtId="0" fontId="4" fillId="0" borderId="59" xfId="0" applyFont="1" applyBorder="1"/>
    <xf numFmtId="0" fontId="4" fillId="0" borderId="60" xfId="0" applyFont="1" applyBorder="1"/>
    <xf numFmtId="0" fontId="4" fillId="0" borderId="59" xfId="0" applyFont="1" applyFill="1" applyBorder="1"/>
    <xf numFmtId="0" fontId="4" fillId="0" borderId="61" xfId="0" applyFont="1" applyFill="1" applyBorder="1"/>
    <xf numFmtId="0" fontId="4" fillId="0" borderId="61" xfId="0" applyFont="1" applyBorder="1"/>
    <xf numFmtId="0" fontId="4" fillId="0" borderId="32" xfId="2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38" fontId="7" fillId="7" borderId="44" xfId="1" applyNumberFormat="1" applyFont="1" applyFill="1" applyBorder="1"/>
    <xf numFmtId="38" fontId="7" fillId="7" borderId="38" xfId="1" applyNumberFormat="1" applyFont="1" applyFill="1" applyBorder="1"/>
    <xf numFmtId="38" fontId="5" fillId="0" borderId="45" xfId="1" applyNumberFormat="1" applyFont="1" applyBorder="1"/>
    <xf numFmtId="0" fontId="4" fillId="0" borderId="38" xfId="1" applyFont="1" applyBorder="1" applyAlignment="1">
      <alignment horizontal="center"/>
    </xf>
    <xf numFmtId="0" fontId="10" fillId="2" borderId="9" xfId="8" applyFont="1" applyFill="1" applyBorder="1" applyAlignment="1">
      <alignment horizontal="center"/>
    </xf>
    <xf numFmtId="43" fontId="4" fillId="0" borderId="9" xfId="2" applyNumberFormat="1" applyFont="1" applyBorder="1"/>
    <xf numFmtId="0" fontId="6" fillId="6" borderId="0" xfId="1" applyFont="1" applyFill="1" applyBorder="1" applyAlignment="1">
      <alignment horizontal="center"/>
    </xf>
    <xf numFmtId="166" fontId="4" fillId="0" borderId="53" xfId="6" applyNumberFormat="1" applyFont="1" applyBorder="1" applyAlignment="1">
      <alignment horizontal="center"/>
    </xf>
    <xf numFmtId="164" fontId="6" fillId="2" borderId="44" xfId="5" applyNumberFormat="1" applyFont="1" applyFill="1" applyBorder="1" applyAlignment="1">
      <alignment horizontal="center"/>
    </xf>
    <xf numFmtId="164" fontId="6" fillId="2" borderId="38" xfId="5" applyNumberFormat="1" applyFont="1" applyFill="1" applyBorder="1" applyAlignment="1">
      <alignment horizontal="center"/>
    </xf>
    <xf numFmtId="43" fontId="4" fillId="0" borderId="62" xfId="6" applyNumberFormat="1" applyFont="1" applyBorder="1" applyAlignment="1">
      <alignment horizontal="center"/>
    </xf>
    <xf numFmtId="165" fontId="4" fillId="0" borderId="59" xfId="6" applyNumberFormat="1" applyFont="1" applyBorder="1" applyAlignment="1">
      <alignment horizontal="center"/>
    </xf>
    <xf numFmtId="165" fontId="4" fillId="0" borderId="59" xfId="2" applyNumberFormat="1" applyFont="1" applyBorder="1" applyAlignment="1">
      <alignment horizontal="center"/>
    </xf>
    <xf numFmtId="43" fontId="4" fillId="0" borderId="38" xfId="6" applyNumberFormat="1" applyFont="1" applyBorder="1" applyAlignment="1">
      <alignment horizontal="center"/>
    </xf>
    <xf numFmtId="43" fontId="4" fillId="0" borderId="6" xfId="6" applyNumberFormat="1" applyFont="1" applyBorder="1" applyAlignment="1">
      <alignment horizontal="center"/>
    </xf>
    <xf numFmtId="43" fontId="4" fillId="0" borderId="7" xfId="6" applyNumberFormat="1" applyFont="1" applyBorder="1" applyAlignment="1">
      <alignment horizontal="center"/>
    </xf>
    <xf numFmtId="43" fontId="4" fillId="0" borderId="5" xfId="6" applyNumberFormat="1" applyFont="1" applyBorder="1" applyAlignment="1">
      <alignment horizontal="center"/>
    </xf>
    <xf numFmtId="165" fontId="4" fillId="6" borderId="0" xfId="2" applyNumberFormat="1" applyFont="1" applyFill="1" applyBorder="1" applyAlignment="1">
      <alignment horizontal="center"/>
    </xf>
    <xf numFmtId="0" fontId="0" fillId="6" borderId="0" xfId="2" applyNumberFormat="1" applyFont="1" applyFill="1" applyAlignment="1">
      <alignment horizontal="center"/>
    </xf>
    <xf numFmtId="171" fontId="0" fillId="6" borderId="0" xfId="0" applyNumberFormat="1" applyFill="1"/>
    <xf numFmtId="172" fontId="0" fillId="6" borderId="0" xfId="0" applyNumberFormat="1" applyFill="1"/>
    <xf numFmtId="166" fontId="0" fillId="6" borderId="0" xfId="0" applyNumberFormat="1" applyFill="1"/>
    <xf numFmtId="166" fontId="0" fillId="6" borderId="0" xfId="0" applyNumberFormat="1" applyFill="1" applyBorder="1"/>
    <xf numFmtId="0" fontId="0" fillId="6" borderId="0" xfId="0" applyFill="1" applyBorder="1"/>
    <xf numFmtId="38" fontId="5" fillId="6" borderId="0" xfId="1" applyNumberFormat="1" applyFont="1" applyFill="1" applyBorder="1"/>
    <xf numFmtId="166" fontId="4" fillId="6" borderId="0" xfId="2" applyNumberFormat="1" applyFont="1" applyFill="1" applyBorder="1" applyAlignment="1">
      <alignment horizontal="center"/>
    </xf>
    <xf numFmtId="43" fontId="4" fillId="6" borderId="0" xfId="2" applyFont="1" applyFill="1" applyBorder="1"/>
    <xf numFmtId="165" fontId="0" fillId="6" borderId="0" xfId="0" applyNumberFormat="1" applyFill="1"/>
    <xf numFmtId="0" fontId="6" fillId="6" borderId="39" xfId="0" applyFont="1" applyFill="1" applyBorder="1" applyAlignment="1"/>
    <xf numFmtId="43" fontId="4" fillId="8" borderId="42" xfId="2" applyNumberFormat="1" applyFont="1" applyFill="1" applyBorder="1"/>
    <xf numFmtId="165" fontId="4" fillId="0" borderId="8" xfId="2" applyNumberFormat="1" applyFont="1" applyBorder="1" applyAlignment="1">
      <alignment horizontal="right"/>
    </xf>
    <xf numFmtId="9" fontId="4" fillId="0" borderId="43" xfId="3" applyFont="1" applyBorder="1" applyAlignment="1">
      <alignment horizontal="center"/>
    </xf>
    <xf numFmtId="165" fontId="4" fillId="10" borderId="2" xfId="2" applyNumberFormat="1" applyFont="1" applyFill="1" applyBorder="1" applyAlignment="1">
      <alignment horizontal="center"/>
    </xf>
    <xf numFmtId="167" fontId="0" fillId="6" borderId="0" xfId="0" applyNumberFormat="1" applyFill="1"/>
    <xf numFmtId="0" fontId="4" fillId="6" borderId="0" xfId="2" applyNumberFormat="1" applyFont="1" applyFill="1" applyBorder="1" applyAlignment="1">
      <alignment horizontal="center"/>
    </xf>
    <xf numFmtId="164" fontId="6" fillId="6" borderId="0" xfId="1" applyNumberFormat="1" applyFont="1" applyFill="1" applyBorder="1" applyAlignment="1">
      <alignment horizontal="center"/>
    </xf>
    <xf numFmtId="165" fontId="4" fillId="6" borderId="0" xfId="2" applyNumberFormat="1" applyFont="1" applyFill="1" applyBorder="1"/>
    <xf numFmtId="0" fontId="4" fillId="6" borderId="0" xfId="0" applyFont="1" applyFill="1" applyBorder="1"/>
    <xf numFmtId="165" fontId="4" fillId="6" borderId="0" xfId="0" applyNumberFormat="1" applyFont="1" applyFill="1"/>
    <xf numFmtId="9" fontId="0" fillId="6" borderId="0" xfId="3" applyFont="1" applyFill="1"/>
    <xf numFmtId="0" fontId="2" fillId="6" borderId="0" xfId="0" applyFont="1" applyFill="1"/>
    <xf numFmtId="0" fontId="4" fillId="6" borderId="0" xfId="0" applyFont="1" applyFill="1"/>
    <xf numFmtId="166" fontId="12" fillId="0" borderId="3" xfId="6" applyNumberFormat="1" applyFont="1" applyBorder="1" applyAlignment="1">
      <alignment horizontal="center"/>
    </xf>
    <xf numFmtId="166" fontId="12" fillId="0" borderId="1" xfId="6" applyNumberFormat="1" applyFont="1" applyBorder="1" applyAlignment="1">
      <alignment horizontal="center"/>
    </xf>
    <xf numFmtId="166" fontId="12" fillId="0" borderId="2" xfId="6" applyNumberFormat="1" applyFont="1" applyBorder="1" applyAlignment="1">
      <alignment horizontal="center"/>
    </xf>
    <xf numFmtId="166" fontId="12" fillId="0" borderId="7" xfId="6" applyNumberFormat="1" applyFont="1" applyBorder="1" applyAlignment="1">
      <alignment horizontal="center"/>
    </xf>
    <xf numFmtId="166" fontId="12" fillId="0" borderId="5" xfId="6" applyNumberFormat="1" applyFont="1" applyBorder="1" applyAlignment="1">
      <alignment horizontal="center"/>
    </xf>
    <xf numFmtId="166" fontId="4" fillId="6" borderId="0" xfId="6" applyNumberFormat="1" applyFont="1" applyFill="1" applyBorder="1" applyAlignment="1">
      <alignment horizontal="center"/>
    </xf>
    <xf numFmtId="43" fontId="4" fillId="6" borderId="0" xfId="6" applyNumberFormat="1" applyFont="1" applyFill="1" applyBorder="1" applyAlignment="1">
      <alignment horizontal="center"/>
    </xf>
    <xf numFmtId="169" fontId="4" fillId="6" borderId="0" xfId="4" applyNumberFormat="1" applyFont="1" applyFill="1" applyBorder="1"/>
    <xf numFmtId="37" fontId="4" fillId="6" borderId="0" xfId="4" applyNumberFormat="1" applyFont="1" applyFill="1" applyBorder="1"/>
    <xf numFmtId="0" fontId="4" fillId="0" borderId="54" xfId="0" applyFont="1" applyBorder="1" applyAlignment="1">
      <alignment horizontal="left" indent="1"/>
    </xf>
    <xf numFmtId="0" fontId="0" fillId="6" borderId="46" xfId="1" applyFont="1" applyFill="1" applyBorder="1" applyAlignment="1">
      <alignment horizontal="center"/>
    </xf>
    <xf numFmtId="0" fontId="0" fillId="6" borderId="27" xfId="0" applyFill="1" applyBorder="1"/>
    <xf numFmtId="0" fontId="0" fillId="6" borderId="63" xfId="0" applyFill="1" applyBorder="1"/>
    <xf numFmtId="165" fontId="4" fillId="6" borderId="22" xfId="2" applyNumberFormat="1" applyFont="1" applyFill="1" applyBorder="1" applyAlignment="1">
      <alignment horizontal="center"/>
    </xf>
    <xf numFmtId="0" fontId="0" fillId="6" borderId="0" xfId="2" applyNumberFormat="1" applyFont="1" applyFill="1" applyBorder="1" applyAlignment="1">
      <alignment horizontal="center"/>
    </xf>
    <xf numFmtId="0" fontId="0" fillId="6" borderId="37" xfId="2" applyNumberFormat="1" applyFont="1" applyFill="1" applyBorder="1" applyAlignment="1">
      <alignment horizontal="center"/>
    </xf>
    <xf numFmtId="0" fontId="0" fillId="6" borderId="22" xfId="1" applyFont="1" applyFill="1" applyBorder="1" applyAlignment="1">
      <alignment horizontal="center"/>
    </xf>
    <xf numFmtId="0" fontId="11" fillId="6" borderId="0" xfId="1" quotePrefix="1" applyFont="1" applyFill="1" applyBorder="1" applyAlignment="1">
      <alignment horizontal="center"/>
    </xf>
    <xf numFmtId="0" fontId="0" fillId="6" borderId="37" xfId="0" applyFill="1" applyBorder="1"/>
    <xf numFmtId="0" fontId="6" fillId="6" borderId="22" xfId="1" applyFont="1" applyFill="1" applyBorder="1" applyAlignment="1">
      <alignment horizontal="center"/>
    </xf>
    <xf numFmtId="0" fontId="0" fillId="6" borderId="0" xfId="1" applyFont="1" applyFill="1" applyBorder="1" applyAlignment="1">
      <alignment horizontal="center"/>
    </xf>
    <xf numFmtId="166" fontId="0" fillId="6" borderId="0" xfId="1" applyNumberFormat="1" applyFont="1" applyFill="1" applyBorder="1" applyAlignment="1">
      <alignment horizontal="center"/>
    </xf>
    <xf numFmtId="167" fontId="2" fillId="6" borderId="37" xfId="0" applyNumberFormat="1" applyFont="1" applyFill="1" applyBorder="1"/>
    <xf numFmtId="165" fontId="0" fillId="6" borderId="0" xfId="2" applyNumberFormat="1" applyFont="1" applyFill="1" applyBorder="1" applyAlignment="1">
      <alignment horizontal="center"/>
    </xf>
    <xf numFmtId="165" fontId="4" fillId="6" borderId="21" xfId="2" applyNumberFormat="1" applyFont="1" applyFill="1" applyBorder="1" applyAlignment="1">
      <alignment horizontal="center"/>
    </xf>
    <xf numFmtId="165" fontId="0" fillId="6" borderId="28" xfId="2" applyNumberFormat="1" applyFont="1" applyFill="1" applyBorder="1" applyAlignment="1">
      <alignment horizontal="center"/>
    </xf>
    <xf numFmtId="0" fontId="0" fillId="6" borderId="36" xfId="0" applyFill="1" applyBorder="1"/>
    <xf numFmtId="0" fontId="4" fillId="0" borderId="59" xfId="0" applyFont="1" applyBorder="1" applyAlignment="1">
      <alignment horizontal="left" indent="1"/>
    </xf>
    <xf numFmtId="0" fontId="6" fillId="6" borderId="40" xfId="1" applyFont="1" applyFill="1" applyBorder="1" applyAlignment="1">
      <alignment horizontal="left"/>
    </xf>
    <xf numFmtId="0" fontId="4" fillId="6" borderId="64" xfId="2" applyNumberFormat="1" applyFont="1" applyFill="1" applyBorder="1" applyAlignment="1">
      <alignment horizontal="center"/>
    </xf>
    <xf numFmtId="38" fontId="7" fillId="7" borderId="27" xfId="1" applyNumberFormat="1" applyFont="1" applyFill="1" applyBorder="1"/>
    <xf numFmtId="38" fontId="7" fillId="7" borderId="28" xfId="1" applyNumberFormat="1" applyFont="1" applyFill="1" applyBorder="1"/>
    <xf numFmtId="38" fontId="5" fillId="0" borderId="0" xfId="1" applyNumberFormat="1" applyFont="1" applyBorder="1"/>
    <xf numFmtId="0" fontId="0" fillId="6" borderId="44" xfId="0" applyFill="1" applyBorder="1"/>
    <xf numFmtId="0" fontId="0" fillId="6" borderId="45" xfId="0" applyFill="1" applyBorder="1"/>
    <xf numFmtId="173" fontId="0" fillId="0" borderId="0" xfId="0" applyNumberFormat="1" applyAlignment="1">
      <alignment horizontal="left"/>
    </xf>
    <xf numFmtId="165" fontId="2" fillId="6" borderId="0" xfId="2" applyNumberFormat="1" applyFont="1" applyFill="1" applyBorder="1" applyAlignment="1">
      <alignment horizontal="center"/>
    </xf>
    <xf numFmtId="173" fontId="0" fillId="0" borderId="0" xfId="1" applyNumberFormat="1" applyFont="1" applyAlignment="1">
      <alignment horizontal="center"/>
    </xf>
    <xf numFmtId="0" fontId="13" fillId="0" borderId="0" xfId="12" applyAlignment="1">
      <alignment horizontal="center"/>
    </xf>
    <xf numFmtId="0" fontId="6" fillId="2" borderId="26" xfId="1" applyFont="1" applyFill="1" applyBorder="1" applyAlignment="1">
      <alignment horizontal="center"/>
    </xf>
    <xf numFmtId="168" fontId="4" fillId="11" borderId="1" xfId="2" applyNumberFormat="1" applyFont="1" applyFill="1" applyBorder="1"/>
    <xf numFmtId="168" fontId="4" fillId="11" borderId="2" xfId="2" applyNumberFormat="1" applyFont="1" applyFill="1" applyBorder="1"/>
    <xf numFmtId="168" fontId="4" fillId="11" borderId="29" xfId="2" applyNumberFormat="1" applyFont="1" applyFill="1" applyBorder="1"/>
    <xf numFmtId="168" fontId="4" fillId="11" borderId="3" xfId="2" applyNumberFormat="1" applyFont="1" applyFill="1" applyBorder="1"/>
    <xf numFmtId="0" fontId="4" fillId="11" borderId="31" xfId="0" applyFont="1" applyFill="1" applyBorder="1"/>
    <xf numFmtId="9" fontId="4" fillId="0" borderId="0" xfId="3" applyFont="1"/>
    <xf numFmtId="0" fontId="6" fillId="2" borderId="26" xfId="1" applyFont="1" applyFill="1" applyBorder="1" applyAlignment="1">
      <alignment horizontal="center"/>
    </xf>
    <xf numFmtId="43" fontId="9" fillId="9" borderId="3" xfId="6" applyNumberFormat="1" applyFont="1" applyFill="1" applyBorder="1" applyAlignment="1">
      <alignment horizontal="center"/>
    </xf>
    <xf numFmtId="164" fontId="6" fillId="2" borderId="25" xfId="1" applyNumberFormat="1" applyFont="1" applyFill="1" applyBorder="1" applyAlignment="1">
      <alignment horizontal="center"/>
    </xf>
    <xf numFmtId="164" fontId="6" fillId="2" borderId="26" xfId="1" applyNumberFormat="1" applyFont="1" applyFill="1" applyBorder="1" applyAlignment="1">
      <alignment horizontal="center"/>
    </xf>
    <xf numFmtId="0" fontId="6" fillId="2" borderId="39" xfId="1" applyFont="1" applyFill="1" applyBorder="1" applyAlignment="1">
      <alignment horizontal="center"/>
    </xf>
    <xf numFmtId="0" fontId="6" fillId="2" borderId="40" xfId="1" applyFont="1" applyFill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/>
    </xf>
    <xf numFmtId="0" fontId="6" fillId="6" borderId="41" xfId="0" applyFont="1" applyFill="1" applyBorder="1" applyAlignment="1">
      <alignment horizontal="center"/>
    </xf>
    <xf numFmtId="0" fontId="6" fillId="6" borderId="40" xfId="1" applyFont="1" applyFill="1" applyBorder="1" applyAlignment="1">
      <alignment horizontal="center"/>
    </xf>
    <xf numFmtId="0" fontId="6" fillId="6" borderId="41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 wrapText="1"/>
    </xf>
    <xf numFmtId="0" fontId="6" fillId="3" borderId="19" xfId="1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164" fontId="6" fillId="2" borderId="41" xfId="1" applyNumberFormat="1" applyFont="1" applyFill="1" applyBorder="1" applyAlignment="1">
      <alignment horizontal="center"/>
    </xf>
    <xf numFmtId="37" fontId="4" fillId="0" borderId="5" xfId="4" applyNumberFormat="1" applyFont="1" applyBorder="1" applyAlignment="1">
      <alignment horizontal="center"/>
    </xf>
    <xf numFmtId="37" fontId="4" fillId="0" borderId="57" xfId="4" applyNumberFormat="1" applyFont="1" applyBorder="1" applyAlignment="1">
      <alignment horizontal="center"/>
    </xf>
    <xf numFmtId="37" fontId="4" fillId="0" borderId="8" xfId="4" applyNumberFormat="1" applyFont="1" applyBorder="1" applyAlignment="1">
      <alignment horizontal="center"/>
    </xf>
    <xf numFmtId="37" fontId="4" fillId="0" borderId="37" xfId="4" applyNumberFormat="1" applyFont="1" applyBorder="1" applyAlignment="1">
      <alignment horizontal="center"/>
    </xf>
    <xf numFmtId="0" fontId="4" fillId="0" borderId="65" xfId="0" applyFont="1" applyBorder="1" applyAlignment="1">
      <alignment vertical="center"/>
    </xf>
    <xf numFmtId="169" fontId="4" fillId="0" borderId="66" xfId="0" applyNumberFormat="1" applyFont="1" applyBorder="1" applyAlignment="1">
      <alignment horizontal="center" wrapText="1"/>
    </xf>
    <xf numFmtId="169" fontId="4" fillId="0" borderId="67" xfId="0" applyNumberFormat="1" applyFont="1" applyBorder="1" applyAlignment="1">
      <alignment horizontal="center" wrapText="1"/>
    </xf>
    <xf numFmtId="4" fontId="4" fillId="0" borderId="66" xfId="0" applyNumberFormat="1" applyFont="1" applyBorder="1" applyAlignment="1">
      <alignment wrapText="1"/>
    </xf>
    <xf numFmtId="0" fontId="0" fillId="6" borderId="21" xfId="0" applyFill="1" applyBorder="1"/>
    <xf numFmtId="0" fontId="0" fillId="6" borderId="28" xfId="0" applyFill="1" applyBorder="1"/>
    <xf numFmtId="0" fontId="14" fillId="6" borderId="28" xfId="5" applyFont="1" applyFill="1" applyBorder="1" applyAlignment="1">
      <alignment horizontal="center"/>
    </xf>
    <xf numFmtId="0" fontId="4" fillId="0" borderId="65" xfId="0" applyFont="1" applyBorder="1"/>
    <xf numFmtId="0" fontId="4" fillId="0" borderId="52" xfId="0" applyFont="1" applyBorder="1" applyAlignment="1">
      <alignment horizontal="left" indent="1"/>
    </xf>
    <xf numFmtId="0" fontId="0" fillId="6" borderId="52" xfId="0" applyFill="1" applyBorder="1"/>
    <xf numFmtId="0" fontId="4" fillId="0" borderId="35" xfId="0" applyFont="1" applyBorder="1"/>
    <xf numFmtId="0" fontId="0" fillId="6" borderId="51" xfId="0" applyFill="1" applyBorder="1"/>
    <xf numFmtId="169" fontId="4" fillId="0" borderId="66" xfId="0" applyNumberFormat="1" applyFont="1" applyBorder="1"/>
    <xf numFmtId="0" fontId="4" fillId="0" borderId="51" xfId="5" applyFont="1" applyBorder="1" applyAlignment="1">
      <alignment horizontal="center"/>
    </xf>
    <xf numFmtId="169" fontId="4" fillId="0" borderId="68" xfId="5" applyNumberFormat="1" applyFont="1" applyBorder="1" applyAlignment="1">
      <alignment horizontal="center"/>
    </xf>
    <xf numFmtId="169" fontId="4" fillId="0" borderId="52" xfId="5" applyNumberFormat="1" applyFont="1" applyBorder="1" applyAlignment="1">
      <alignment horizontal="center"/>
    </xf>
    <xf numFmtId="0" fontId="6" fillId="6" borderId="44" xfId="1" applyFont="1" applyFill="1" applyBorder="1" applyAlignment="1">
      <alignment horizontal="center"/>
    </xf>
    <xf numFmtId="0" fontId="0" fillId="6" borderId="38" xfId="0" applyFill="1" applyBorder="1"/>
  </cellXfs>
  <cellStyles count="13">
    <cellStyle name="=C:\WINNT\SYSTEM32\COMMAND.COM" xfId="1"/>
    <cellStyle name="=C:\WINNT\SYSTEM32\COMMAND.COM 2" xfId="5"/>
    <cellStyle name="Comma" xfId="2" builtinId="3"/>
    <cellStyle name="Comma 2" xfId="6"/>
    <cellStyle name="Comma 3" xfId="9"/>
    <cellStyle name="Currency" xfId="4" builtinId="4"/>
    <cellStyle name="Currency 2" xfId="11"/>
    <cellStyle name="Hyperlink" xfId="12" builtinId="8"/>
    <cellStyle name="Normal" xfId="0" builtinId="0"/>
    <cellStyle name="Normal 2" xfId="8"/>
    <cellStyle name="Percent" xfId="3" builtinId="5"/>
    <cellStyle name="Percent 2" xfId="7"/>
    <cellStyle name="Percent 3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EBFF"/>
      <color rgb="FFFFCCFF"/>
      <color rgb="FFFF99FF"/>
      <color rgb="FFBDD29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1539240</xdr:colOff>
      <xdr:row>1</xdr:row>
      <xdr:rowOff>121920</xdr:rowOff>
    </xdr:from>
    <xdr:to>
      <xdr:col>9</xdr:col>
      <xdr:colOff>1325880</xdr:colOff>
      <xdr:row>7</xdr:row>
      <xdr:rowOff>37429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2080" y="304800"/>
          <a:ext cx="1341120" cy="1348069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</xdr:colOff>
      <xdr:row>46</xdr:row>
      <xdr:rowOff>76200</xdr:rowOff>
    </xdr:from>
    <xdr:to>
      <xdr:col>11</xdr:col>
      <xdr:colOff>1114877</xdr:colOff>
      <xdr:row>51</xdr:row>
      <xdr:rowOff>23215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3840" y="10454640"/>
          <a:ext cx="1084397" cy="1090015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</xdr:colOff>
      <xdr:row>16</xdr:row>
      <xdr:rowOff>182880</xdr:rowOff>
    </xdr:from>
    <xdr:to>
      <xdr:col>11</xdr:col>
      <xdr:colOff>1114877</xdr:colOff>
      <xdr:row>21</xdr:row>
      <xdr:rowOff>129895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0520" y="3810000"/>
          <a:ext cx="1084397" cy="1090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1524000</xdr:colOff>
      <xdr:row>1</xdr:row>
      <xdr:rowOff>45720</xdr:rowOff>
    </xdr:from>
    <xdr:to>
      <xdr:col>9</xdr:col>
      <xdr:colOff>1310640</xdr:colOff>
      <xdr:row>6</xdr:row>
      <xdr:rowOff>189829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3520" y="228600"/>
          <a:ext cx="1341120" cy="1348069"/>
        </a:xfrm>
        <a:prstGeom prst="rect">
          <a:avLst/>
        </a:prstGeom>
      </xdr:spPr>
    </xdr:pic>
    <xdr:clientData/>
  </xdr:twoCellAnchor>
  <xdr:twoCellAnchor editAs="oneCell">
    <xdr:from>
      <xdr:col>11</xdr:col>
      <xdr:colOff>60960</xdr:colOff>
      <xdr:row>17</xdr:row>
      <xdr:rowOff>106680</xdr:rowOff>
    </xdr:from>
    <xdr:to>
      <xdr:col>11</xdr:col>
      <xdr:colOff>1145357</xdr:colOff>
      <xdr:row>22</xdr:row>
      <xdr:rowOff>53695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3962400"/>
          <a:ext cx="1084397" cy="109001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</xdr:colOff>
      <xdr:row>46</xdr:row>
      <xdr:rowOff>137160</xdr:rowOff>
    </xdr:from>
    <xdr:to>
      <xdr:col>11</xdr:col>
      <xdr:colOff>1130117</xdr:colOff>
      <xdr:row>51</xdr:row>
      <xdr:rowOff>84175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5760" y="10469880"/>
          <a:ext cx="1084397" cy="1090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bnenergy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rbnener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8"/>
  <sheetViews>
    <sheetView zoomScale="50" zoomScaleNormal="50" workbookViewId="0">
      <selection activeCell="Q16" sqref="Q16"/>
    </sheetView>
  </sheetViews>
  <sheetFormatPr defaultRowHeight="13.2" x14ac:dyDescent="0.25"/>
  <cols>
    <col min="1" max="1" width="4.21875" style="72" customWidth="1"/>
    <col min="2" max="2" width="4.109375" style="72" customWidth="1"/>
    <col min="3" max="3" width="20.6640625" style="72" customWidth="1"/>
    <col min="4" max="4" width="15.21875" style="72" customWidth="1"/>
    <col min="5" max="5" width="17.109375" style="72" customWidth="1"/>
    <col min="6" max="7" width="15.21875" style="72" customWidth="1"/>
    <col min="8" max="8" width="18.33203125" style="1" customWidth="1"/>
    <col min="9" max="9" width="22.6640625" style="1" customWidth="1"/>
    <col min="10" max="10" width="21" style="1" customWidth="1"/>
    <col min="11" max="11" width="16.77734375" style="72" customWidth="1"/>
    <col min="12" max="12" width="16.88671875" style="72" customWidth="1"/>
    <col min="13" max="13" width="3.77734375" style="72" customWidth="1"/>
    <col min="14" max="14" width="8.33203125" style="72" customWidth="1"/>
    <col min="15" max="37" width="8.88671875" style="72"/>
    <col min="38" max="38" width="15.44140625" style="72" bestFit="1" customWidth="1"/>
    <col min="39" max="16384" width="8.88671875" style="72"/>
  </cols>
  <sheetData>
    <row r="1" spans="1:14" ht="13.8" thickBot="1" x14ac:dyDescent="0.3">
      <c r="A1" s="73"/>
      <c r="B1" s="73"/>
      <c r="C1" s="73"/>
      <c r="D1" s="73"/>
      <c r="E1" s="73"/>
      <c r="F1" s="73"/>
      <c r="G1" s="73"/>
      <c r="H1" s="45"/>
      <c r="I1" s="45"/>
      <c r="J1" s="45"/>
      <c r="K1" s="73"/>
      <c r="L1" s="73"/>
      <c r="M1" s="73"/>
    </row>
    <row r="2" spans="1:14" s="73" customFormat="1" ht="17.399999999999999" x14ac:dyDescent="0.3">
      <c r="B2" s="241"/>
      <c r="C2" s="194" t="s">
        <v>84</v>
      </c>
      <c r="D2" s="261" t="s">
        <v>85</v>
      </c>
      <c r="E2" s="261"/>
      <c r="F2" s="261"/>
      <c r="G2" s="261"/>
      <c r="H2" s="262"/>
      <c r="I2" s="218"/>
      <c r="J2" s="219"/>
      <c r="K2" s="220"/>
    </row>
    <row r="3" spans="1:14" s="44" customFormat="1" ht="17.399999999999999" x14ac:dyDescent="0.3">
      <c r="A3" s="184"/>
      <c r="B3" s="242"/>
      <c r="C3" s="59" t="s">
        <v>27</v>
      </c>
      <c r="D3" s="60" t="s">
        <v>28</v>
      </c>
      <c r="E3" s="60" t="s">
        <v>29</v>
      </c>
      <c r="F3" s="60" t="s">
        <v>30</v>
      </c>
      <c r="G3" s="60" t="s">
        <v>31</v>
      </c>
      <c r="H3" s="61" t="s">
        <v>32</v>
      </c>
      <c r="I3" s="221"/>
      <c r="J3" s="222"/>
      <c r="K3" s="223"/>
      <c r="L3" s="184"/>
      <c r="M3" s="184"/>
    </row>
    <row r="4" spans="1:14" ht="22.8" x14ac:dyDescent="0.4">
      <c r="A4" s="73"/>
      <c r="B4" s="242"/>
      <c r="C4" s="69" t="s">
        <v>33</v>
      </c>
      <c r="D4" s="68">
        <v>379.48200000000003</v>
      </c>
      <c r="E4" s="265" t="s">
        <v>4</v>
      </c>
      <c r="F4" s="62" t="s">
        <v>23</v>
      </c>
      <c r="G4" s="267" t="s">
        <v>24</v>
      </c>
      <c r="H4" s="63" t="s">
        <v>8</v>
      </c>
      <c r="I4" s="224"/>
      <c r="J4" s="225"/>
      <c r="K4" s="226"/>
      <c r="L4" s="73"/>
      <c r="M4" s="73"/>
    </row>
    <row r="5" spans="1:14" ht="18" thickBot="1" x14ac:dyDescent="0.35">
      <c r="A5" s="73"/>
      <c r="B5" s="242"/>
      <c r="C5" s="67"/>
      <c r="D5" s="66" t="s">
        <v>11</v>
      </c>
      <c r="E5" s="266"/>
      <c r="F5" s="64" t="s">
        <v>22</v>
      </c>
      <c r="G5" s="268"/>
      <c r="H5" s="65" t="s">
        <v>9</v>
      </c>
      <c r="I5" s="227"/>
      <c r="J5" s="228"/>
      <c r="K5" s="226"/>
      <c r="L5" s="73"/>
      <c r="M5" s="73"/>
    </row>
    <row r="6" spans="1:14" ht="17.399999999999999" x14ac:dyDescent="0.3">
      <c r="A6" s="73"/>
      <c r="B6" s="159">
        <v>1</v>
      </c>
      <c r="C6" s="23" t="s">
        <v>20</v>
      </c>
      <c r="D6" s="25"/>
      <c r="E6" s="18">
        <v>6.4169999999999998</v>
      </c>
      <c r="F6" s="19">
        <f>$D$4/E6</f>
        <v>59.136979897148208</v>
      </c>
      <c r="G6" s="5">
        <f>(E6/$D$4)*1000</f>
        <v>16.90989295934985</v>
      </c>
      <c r="H6" s="20">
        <v>1010</v>
      </c>
      <c r="I6" s="221"/>
      <c r="J6" s="229"/>
      <c r="K6" s="230"/>
      <c r="L6" s="185"/>
      <c r="M6" s="199"/>
    </row>
    <row r="7" spans="1:14" ht="17.399999999999999" x14ac:dyDescent="0.3">
      <c r="A7" s="73"/>
      <c r="B7" s="159">
        <v>2</v>
      </c>
      <c r="C7" s="23" t="s">
        <v>15</v>
      </c>
      <c r="D7" s="26">
        <v>65897</v>
      </c>
      <c r="E7" s="4">
        <v>10.122999999999999</v>
      </c>
      <c r="F7" s="5">
        <f>$D$4/E7</f>
        <v>37.487108564654754</v>
      </c>
      <c r="G7" s="5">
        <f>(E7/$D$4)*1000</f>
        <v>26.675837062100438</v>
      </c>
      <c r="H7" s="14">
        <f>D7/F7</f>
        <v>1757.8576348812326</v>
      </c>
      <c r="I7" s="221"/>
      <c r="J7" s="231"/>
      <c r="K7" s="226"/>
      <c r="L7" s="73"/>
      <c r="M7" s="73"/>
      <c r="N7" s="3"/>
    </row>
    <row r="8" spans="1:14" ht="17.399999999999999" x14ac:dyDescent="0.3">
      <c r="A8" s="73"/>
      <c r="B8" s="159">
        <v>3</v>
      </c>
      <c r="C8" s="23" t="s">
        <v>16</v>
      </c>
      <c r="D8" s="26">
        <v>90875</v>
      </c>
      <c r="E8" s="4">
        <v>10.428000000000001</v>
      </c>
      <c r="F8" s="5">
        <f t="shared" ref="F8:F11" si="0">$D$4/E8</f>
        <v>36.390678941311855</v>
      </c>
      <c r="G8" s="5">
        <f t="shared" ref="G8:G11" si="1">(E8/$D$4)*1000</f>
        <v>27.47956424810663</v>
      </c>
      <c r="H8" s="14">
        <f t="shared" ref="H8:H11" si="2">D8/F8</f>
        <v>2497.20540104669</v>
      </c>
      <c r="I8" s="224"/>
      <c r="J8" s="244" t="s">
        <v>95</v>
      </c>
      <c r="K8" s="226"/>
      <c r="L8" s="186"/>
      <c r="M8" s="73"/>
      <c r="N8" s="3"/>
    </row>
    <row r="9" spans="1:14" ht="17.399999999999999" x14ac:dyDescent="0.3">
      <c r="A9" s="73"/>
      <c r="B9" s="159">
        <v>4</v>
      </c>
      <c r="C9" s="23" t="s">
        <v>18</v>
      </c>
      <c r="D9" s="26">
        <v>102950</v>
      </c>
      <c r="E9" s="4">
        <v>11.933</v>
      </c>
      <c r="F9" s="5">
        <f t="shared" si="0"/>
        <v>31.801055895416077</v>
      </c>
      <c r="G9" s="5">
        <f t="shared" si="1"/>
        <v>31.445496756104369</v>
      </c>
      <c r="H9" s="14">
        <f t="shared" si="2"/>
        <v>3237.3138910409448</v>
      </c>
      <c r="I9" s="221"/>
      <c r="J9" s="245">
        <v>41298</v>
      </c>
      <c r="K9" s="226"/>
      <c r="L9" s="73"/>
      <c r="M9" s="73"/>
      <c r="N9" s="3"/>
    </row>
    <row r="10" spans="1:14" ht="17.399999999999999" x14ac:dyDescent="0.3">
      <c r="A10" s="73"/>
      <c r="B10" s="159">
        <v>5</v>
      </c>
      <c r="C10" s="23" t="s">
        <v>17</v>
      </c>
      <c r="D10" s="26">
        <v>98924</v>
      </c>
      <c r="E10" s="4">
        <v>12.385999999999999</v>
      </c>
      <c r="F10" s="5">
        <f t="shared" si="0"/>
        <v>30.637978362667532</v>
      </c>
      <c r="G10" s="5">
        <f t="shared" si="1"/>
        <v>32.639229265156182</v>
      </c>
      <c r="H10" s="14">
        <f t="shared" si="2"/>
        <v>3228.8031158263102</v>
      </c>
      <c r="I10" s="221"/>
      <c r="J10" s="246" t="s">
        <v>96</v>
      </c>
      <c r="K10" s="226"/>
      <c r="L10" s="187"/>
      <c r="M10" s="187"/>
      <c r="N10" s="3"/>
    </row>
    <row r="11" spans="1:14" ht="18" thickBot="1" x14ac:dyDescent="0.35">
      <c r="A11" s="73"/>
      <c r="B11" s="163">
        <v>6</v>
      </c>
      <c r="C11" s="24" t="s">
        <v>19</v>
      </c>
      <c r="D11" s="27">
        <v>110020</v>
      </c>
      <c r="E11" s="15">
        <v>13.721</v>
      </c>
      <c r="F11" s="16">
        <f t="shared" si="0"/>
        <v>27.657022082938564</v>
      </c>
      <c r="G11" s="16">
        <f t="shared" si="1"/>
        <v>36.157182685871796</v>
      </c>
      <c r="H11" s="17">
        <f t="shared" si="2"/>
        <v>3978.0132390996146</v>
      </c>
      <c r="I11" s="232"/>
      <c r="J11" s="233"/>
      <c r="K11" s="234"/>
      <c r="L11" s="73"/>
      <c r="M11" s="73"/>
      <c r="N11" s="3"/>
    </row>
    <row r="12" spans="1:14" ht="17.399999999999999" x14ac:dyDescent="0.3">
      <c r="A12" s="73"/>
      <c r="B12" s="73"/>
      <c r="C12" s="190"/>
      <c r="D12" s="183"/>
      <c r="E12" s="191"/>
      <c r="F12" s="192"/>
      <c r="G12" s="192"/>
      <c r="H12" s="183"/>
      <c r="I12" s="183"/>
      <c r="J12" s="193"/>
      <c r="K12" s="73"/>
      <c r="L12" s="188"/>
      <c r="M12" s="187"/>
      <c r="N12" s="3"/>
    </row>
    <row r="13" spans="1:14" ht="13.8" thickBot="1" x14ac:dyDescent="0.3">
      <c r="A13" s="73"/>
      <c r="B13" s="73"/>
      <c r="C13" s="73"/>
      <c r="D13" s="45">
        <v>1</v>
      </c>
      <c r="E13" s="45">
        <v>2</v>
      </c>
      <c r="F13" s="45">
        <v>3</v>
      </c>
      <c r="G13" s="45">
        <v>4</v>
      </c>
      <c r="H13" s="45">
        <v>5</v>
      </c>
      <c r="I13" s="45">
        <v>6</v>
      </c>
      <c r="J13" s="45">
        <v>7</v>
      </c>
      <c r="K13" s="45">
        <v>8</v>
      </c>
      <c r="L13" s="189"/>
      <c r="M13" s="73"/>
      <c r="N13" s="2"/>
    </row>
    <row r="14" spans="1:14" ht="17.399999999999999" x14ac:dyDescent="0.3">
      <c r="A14" s="73"/>
      <c r="B14" s="241"/>
      <c r="C14" s="236" t="s">
        <v>59</v>
      </c>
      <c r="D14" s="263" t="s">
        <v>101</v>
      </c>
      <c r="E14" s="263"/>
      <c r="F14" s="263"/>
      <c r="G14" s="263"/>
      <c r="H14" s="263"/>
      <c r="I14" s="263"/>
      <c r="J14" s="263"/>
      <c r="K14" s="264"/>
      <c r="L14" s="290"/>
      <c r="M14" s="172"/>
    </row>
    <row r="15" spans="1:14" ht="18" thickBot="1" x14ac:dyDescent="0.35">
      <c r="A15" s="73"/>
      <c r="B15" s="242"/>
      <c r="C15" s="158"/>
      <c r="D15" s="82" t="s">
        <v>50</v>
      </c>
      <c r="E15" s="83" t="s">
        <v>51</v>
      </c>
      <c r="F15" s="83" t="s">
        <v>52</v>
      </c>
      <c r="G15" s="83" t="s">
        <v>53</v>
      </c>
      <c r="H15" s="83" t="s">
        <v>54</v>
      </c>
      <c r="I15" s="83" t="s">
        <v>55</v>
      </c>
      <c r="J15" s="83" t="s">
        <v>56</v>
      </c>
      <c r="K15" s="84" t="s">
        <v>57</v>
      </c>
      <c r="L15" s="242"/>
      <c r="M15" s="200"/>
    </row>
    <row r="16" spans="1:14" ht="17.399999999999999" x14ac:dyDescent="0.3">
      <c r="A16" s="73"/>
      <c r="B16" s="242"/>
      <c r="C16" s="166"/>
      <c r="D16" s="79"/>
      <c r="E16" s="121" t="s">
        <v>0</v>
      </c>
      <c r="F16" s="247"/>
      <c r="G16" s="31" t="s">
        <v>5</v>
      </c>
      <c r="H16" s="32" t="s">
        <v>13</v>
      </c>
      <c r="I16" s="33" t="s">
        <v>13</v>
      </c>
      <c r="J16" s="34" t="s">
        <v>21</v>
      </c>
      <c r="K16" s="35" t="s">
        <v>10</v>
      </c>
      <c r="L16" s="242"/>
      <c r="M16" s="201"/>
    </row>
    <row r="17" spans="1:13" ht="18" thickBot="1" x14ac:dyDescent="0.35">
      <c r="A17" s="73"/>
      <c r="B17" s="242"/>
      <c r="C17" s="167" t="s">
        <v>25</v>
      </c>
      <c r="D17" s="51" t="s">
        <v>3</v>
      </c>
      <c r="E17" s="36" t="s">
        <v>1</v>
      </c>
      <c r="F17" s="37" t="s">
        <v>2</v>
      </c>
      <c r="G17" s="38" t="s">
        <v>6</v>
      </c>
      <c r="H17" s="39" t="s">
        <v>7</v>
      </c>
      <c r="I17" s="40" t="s">
        <v>14</v>
      </c>
      <c r="J17" s="41" t="s">
        <v>13</v>
      </c>
      <c r="K17" s="42" t="s">
        <v>34</v>
      </c>
      <c r="L17" s="242"/>
      <c r="M17" s="201"/>
    </row>
    <row r="18" spans="1:13" ht="17.399999999999999" x14ac:dyDescent="0.3">
      <c r="A18" s="73"/>
      <c r="B18" s="159">
        <v>1</v>
      </c>
      <c r="C18" s="168" t="s">
        <v>20</v>
      </c>
      <c r="D18" s="46">
        <v>90.2</v>
      </c>
      <c r="E18" s="43">
        <f t="shared" ref="E18:E23" si="3">G6*D18/100</f>
        <v>15.252723449333565</v>
      </c>
      <c r="F18" s="6">
        <f t="shared" ref="F18:F23" si="4">(E18*$G$26)*1000</f>
        <v>578581.5586035701</v>
      </c>
      <c r="G18" s="28">
        <v>0</v>
      </c>
      <c r="H18" s="29">
        <f t="shared" ref="H18:H23" si="5">G18*F18</f>
        <v>0</v>
      </c>
      <c r="I18" s="30">
        <f t="shared" ref="I18:I23" si="6">H18/42</f>
        <v>0</v>
      </c>
      <c r="J18" s="75"/>
      <c r="K18" s="52">
        <f t="shared" ref="K18:K23" si="7">(H6*D18)/100</f>
        <v>911.02</v>
      </c>
      <c r="L18" s="242"/>
      <c r="M18" s="183"/>
    </row>
    <row r="19" spans="1:13" ht="17.399999999999999" x14ac:dyDescent="0.3">
      <c r="A19" s="73"/>
      <c r="B19" s="159">
        <v>2</v>
      </c>
      <c r="C19" s="168" t="s">
        <v>15</v>
      </c>
      <c r="D19" s="47">
        <v>4.2808510638297861</v>
      </c>
      <c r="E19" s="43">
        <f t="shared" si="3"/>
        <v>1.141952854658427</v>
      </c>
      <c r="F19" s="6">
        <f t="shared" si="4"/>
        <v>43317.697635758108</v>
      </c>
      <c r="G19" s="7">
        <v>0.9</v>
      </c>
      <c r="H19" s="22">
        <f t="shared" si="5"/>
        <v>38985.927872182299</v>
      </c>
      <c r="I19" s="6">
        <f t="shared" si="6"/>
        <v>928.23637790910232</v>
      </c>
      <c r="J19" s="8">
        <f>I19/$I$25</f>
        <v>0.41949322522362903</v>
      </c>
      <c r="K19" s="53">
        <f t="shared" si="7"/>
        <v>75.251267263426357</v>
      </c>
      <c r="L19" s="242"/>
      <c r="M19" s="183"/>
    </row>
    <row r="20" spans="1:13" ht="17.399999999999999" x14ac:dyDescent="0.3">
      <c r="A20" s="73"/>
      <c r="B20" s="159">
        <v>3</v>
      </c>
      <c r="C20" s="168" t="s">
        <v>16</v>
      </c>
      <c r="D20" s="47">
        <v>2.5056737588652487</v>
      </c>
      <c r="E20" s="43">
        <f t="shared" si="3"/>
        <v>0.68854823041532442</v>
      </c>
      <c r="F20" s="6">
        <f t="shared" si="4"/>
        <v>26118.700024344504</v>
      </c>
      <c r="G20" s="7">
        <v>0.99</v>
      </c>
      <c r="H20" s="22">
        <f t="shared" si="5"/>
        <v>25857.513024101059</v>
      </c>
      <c r="I20" s="9">
        <f t="shared" si="6"/>
        <v>615.6550720024062</v>
      </c>
      <c r="J20" s="8">
        <f>I20/$I$25</f>
        <v>0.27822991850559148</v>
      </c>
      <c r="K20" s="53">
        <f t="shared" si="7"/>
        <v>62.57182043899261</v>
      </c>
      <c r="L20" s="242"/>
      <c r="M20" s="183"/>
    </row>
    <row r="21" spans="1:13" ht="17.399999999999999" x14ac:dyDescent="0.3">
      <c r="A21" s="73"/>
      <c r="B21" s="159">
        <v>4</v>
      </c>
      <c r="C21" s="168" t="s">
        <v>18</v>
      </c>
      <c r="D21" s="47">
        <v>0.56028368794326255</v>
      </c>
      <c r="E21" s="43">
        <f t="shared" si="3"/>
        <v>0.17618398891718054</v>
      </c>
      <c r="F21" s="6">
        <f t="shared" si="4"/>
        <v>6683.1872515954092</v>
      </c>
      <c r="G21" s="7">
        <v>0.99</v>
      </c>
      <c r="H21" s="22">
        <f t="shared" si="5"/>
        <v>6616.3553790794549</v>
      </c>
      <c r="I21" s="9">
        <f>H21/42</f>
        <v>157.5322709304632</v>
      </c>
      <c r="J21" s="8">
        <f>I21/$I$25</f>
        <v>7.119277156350988E-2</v>
      </c>
      <c r="K21" s="53">
        <f t="shared" si="7"/>
        <v>18.138141659023738</v>
      </c>
      <c r="L21" s="242"/>
      <c r="M21" s="183"/>
    </row>
    <row r="22" spans="1:13" ht="17.399999999999999" x14ac:dyDescent="0.3">
      <c r="A22" s="73"/>
      <c r="B22" s="159">
        <v>5</v>
      </c>
      <c r="C22" s="168" t="s">
        <v>17</v>
      </c>
      <c r="D22" s="47">
        <v>0.73546099290780154</v>
      </c>
      <c r="E22" s="43">
        <f t="shared" si="3"/>
        <v>0.24004879963097139</v>
      </c>
      <c r="F22" s="6">
        <f t="shared" si="4"/>
        <v>9105.7711164016382</v>
      </c>
      <c r="G22" s="7">
        <v>0.99</v>
      </c>
      <c r="H22" s="22">
        <f t="shared" si="5"/>
        <v>9014.7134052376223</v>
      </c>
      <c r="I22" s="9">
        <f>H22/42</f>
        <v>214.63603345803864</v>
      </c>
      <c r="J22" s="8">
        <f>I22/$I$25</f>
        <v>9.699938945221602E-2</v>
      </c>
      <c r="K22" s="53">
        <f t="shared" si="7"/>
        <v>23.746587454694215</v>
      </c>
      <c r="L22" s="242"/>
      <c r="M22" s="183"/>
    </row>
    <row r="23" spans="1:13" ht="17.399999999999999" x14ac:dyDescent="0.3">
      <c r="A23" s="73"/>
      <c r="B23" s="160">
        <v>6</v>
      </c>
      <c r="C23" s="168" t="s">
        <v>35</v>
      </c>
      <c r="D23" s="47">
        <v>0.91773049645390081</v>
      </c>
      <c r="E23" s="43">
        <f t="shared" si="3"/>
        <v>0.33182549216679513</v>
      </c>
      <c r="F23" s="10">
        <f t="shared" si="4"/>
        <v>12587.136394363039</v>
      </c>
      <c r="G23" s="11">
        <v>0.99</v>
      </c>
      <c r="H23" s="21">
        <f t="shared" si="5"/>
        <v>12461.265030419409</v>
      </c>
      <c r="I23" s="12">
        <f t="shared" si="6"/>
        <v>296.69678643855735</v>
      </c>
      <c r="J23" s="13">
        <f>I23/$I$25</f>
        <v>0.13408469525505357</v>
      </c>
      <c r="K23" s="54">
        <f t="shared" si="7"/>
        <v>36.507440648190794</v>
      </c>
      <c r="L23" s="242"/>
      <c r="M23" s="183"/>
    </row>
    <row r="24" spans="1:13" ht="18" thickBot="1" x14ac:dyDescent="0.35">
      <c r="A24" s="73"/>
      <c r="B24" s="160">
        <v>7</v>
      </c>
      <c r="C24" s="159" t="s">
        <v>26</v>
      </c>
      <c r="D24" s="50">
        <v>0.8</v>
      </c>
      <c r="E24" s="149"/>
      <c r="F24" s="150"/>
      <c r="G24" s="151"/>
      <c r="H24" s="152"/>
      <c r="I24" s="198"/>
      <c r="J24" s="153"/>
      <c r="K24" s="154"/>
      <c r="L24" s="242"/>
      <c r="M24" s="183"/>
    </row>
    <row r="25" spans="1:13" ht="18" thickBot="1" x14ac:dyDescent="0.35">
      <c r="A25" s="73"/>
      <c r="B25" s="161">
        <v>8</v>
      </c>
      <c r="C25" s="235" t="s">
        <v>86</v>
      </c>
      <c r="D25" s="48">
        <f>SUM(D18:D24)</f>
        <v>100</v>
      </c>
      <c r="E25" s="71">
        <f>SUM(E18:E23)</f>
        <v>17.831282815122268</v>
      </c>
      <c r="F25" s="58">
        <f>SUM(F18:F23)</f>
        <v>676394.05102603277</v>
      </c>
      <c r="G25" s="49"/>
      <c r="H25" s="196">
        <f>SUM(H19:H23)</f>
        <v>92935.77471101984</v>
      </c>
      <c r="I25" s="81">
        <f>SUM(I19:I23)</f>
        <v>2212.7565407385678</v>
      </c>
      <c r="J25" s="197">
        <f>I25/$I$25</f>
        <v>1</v>
      </c>
      <c r="K25" s="81">
        <f>SUM(K18:K23)</f>
        <v>1127.2352574643276</v>
      </c>
      <c r="L25" s="242"/>
      <c r="M25" s="202"/>
    </row>
    <row r="26" spans="1:13" ht="18" thickBot="1" x14ac:dyDescent="0.35">
      <c r="A26" s="73"/>
      <c r="B26" s="162">
        <v>9</v>
      </c>
      <c r="C26" s="169"/>
      <c r="D26" s="157"/>
      <c r="E26" s="55" t="s">
        <v>12</v>
      </c>
      <c r="F26" s="56"/>
      <c r="G26" s="80">
        <v>37.933</v>
      </c>
      <c r="H26" s="195">
        <f>SUM(F19:F23)/(G26*1000)</f>
        <v>2.5785593657886983</v>
      </c>
      <c r="I26" s="195">
        <f>H25/($G$26*1000)</f>
        <v>2.4499980152115528</v>
      </c>
      <c r="J26" s="155"/>
      <c r="K26" s="156"/>
      <c r="L26" s="291"/>
      <c r="M26" s="203"/>
    </row>
    <row r="27" spans="1:13" x14ac:dyDescent="0.25">
      <c r="A27" s="73"/>
      <c r="B27" s="73"/>
      <c r="C27" s="73"/>
      <c r="D27" s="73"/>
      <c r="E27" s="73"/>
      <c r="F27" s="73"/>
      <c r="G27" s="73"/>
      <c r="H27" s="45"/>
      <c r="I27" s="45"/>
      <c r="J27" s="45"/>
      <c r="K27" s="73"/>
      <c r="L27" s="73"/>
      <c r="M27" s="73"/>
    </row>
    <row r="28" spans="1:13" ht="13.8" thickBot="1" x14ac:dyDescent="0.3">
      <c r="A28" s="73"/>
      <c r="B28" s="73"/>
      <c r="C28" s="73"/>
      <c r="D28" s="73"/>
      <c r="E28" s="73"/>
      <c r="F28" s="73"/>
      <c r="G28" s="73"/>
      <c r="H28" s="45"/>
      <c r="I28" s="45"/>
      <c r="J28" s="45"/>
      <c r="K28" s="73"/>
      <c r="L28" s="73"/>
      <c r="M28" s="73"/>
    </row>
    <row r="29" spans="1:13" ht="17.399999999999999" x14ac:dyDescent="0.3">
      <c r="A29" s="73"/>
      <c r="B29" s="241"/>
      <c r="C29" s="120" t="s">
        <v>60</v>
      </c>
      <c r="D29" s="261" t="s">
        <v>102</v>
      </c>
      <c r="E29" s="261"/>
      <c r="F29" s="261"/>
      <c r="G29" s="261"/>
      <c r="H29" s="261"/>
      <c r="I29" s="261"/>
      <c r="J29" s="261"/>
      <c r="K29" s="261"/>
      <c r="L29" s="262"/>
      <c r="M29" s="73"/>
    </row>
    <row r="30" spans="1:13" ht="18" thickBot="1" x14ac:dyDescent="0.35">
      <c r="A30" s="73"/>
      <c r="B30" s="242"/>
      <c r="C30" s="237"/>
      <c r="D30" s="124" t="s">
        <v>58</v>
      </c>
      <c r="E30" s="124" t="s">
        <v>70</v>
      </c>
      <c r="F30" s="124" t="s">
        <v>71</v>
      </c>
      <c r="G30" s="124" t="s">
        <v>72</v>
      </c>
      <c r="H30" s="124" t="s">
        <v>73</v>
      </c>
      <c r="I30" s="125" t="s">
        <v>74</v>
      </c>
      <c r="J30" s="148" t="s">
        <v>75</v>
      </c>
      <c r="K30" s="164" t="s">
        <v>76</v>
      </c>
      <c r="L30" s="165" t="s">
        <v>77</v>
      </c>
      <c r="M30" s="73"/>
    </row>
    <row r="31" spans="1:13" ht="17.399999999999999" x14ac:dyDescent="0.3">
      <c r="A31" s="73"/>
      <c r="B31" s="242"/>
      <c r="C31" s="238"/>
      <c r="D31" s="128" t="s">
        <v>36</v>
      </c>
      <c r="E31" s="126" t="s">
        <v>37</v>
      </c>
      <c r="F31" s="126" t="s">
        <v>63</v>
      </c>
      <c r="G31" s="132" t="s">
        <v>36</v>
      </c>
      <c r="H31" s="132" t="s">
        <v>37</v>
      </c>
      <c r="I31" s="174" t="s">
        <v>67</v>
      </c>
      <c r="J31" s="78"/>
      <c r="K31" s="256" t="s">
        <v>47</v>
      </c>
      <c r="L31" s="269"/>
      <c r="M31" s="73"/>
    </row>
    <row r="32" spans="1:13" ht="18" thickBot="1" x14ac:dyDescent="0.35">
      <c r="A32" s="73"/>
      <c r="B32" s="242"/>
      <c r="C32" s="239" t="s">
        <v>25</v>
      </c>
      <c r="D32" s="142" t="s">
        <v>7</v>
      </c>
      <c r="E32" s="143" t="s">
        <v>38</v>
      </c>
      <c r="F32" s="143" t="s">
        <v>64</v>
      </c>
      <c r="G32" s="144" t="s">
        <v>1</v>
      </c>
      <c r="H32" s="144" t="s">
        <v>66</v>
      </c>
      <c r="I32" s="175" t="s">
        <v>68</v>
      </c>
      <c r="J32" s="70"/>
      <c r="K32" s="95" t="s">
        <v>45</v>
      </c>
      <c r="L32" s="136" t="s">
        <v>46</v>
      </c>
      <c r="M32" s="73"/>
    </row>
    <row r="33" spans="1:14" ht="17.399999999999999" x14ac:dyDescent="0.3">
      <c r="A33" s="73"/>
      <c r="B33" s="159">
        <v>1</v>
      </c>
      <c r="C33" s="240" t="s">
        <v>20</v>
      </c>
      <c r="D33" s="140">
        <f t="shared" ref="D33:D38" si="8">F18-H18</f>
        <v>578581.5586035701</v>
      </c>
      <c r="E33" s="134">
        <f t="shared" ref="E33:E38" si="9">(F6*D33)/1000000</f>
        <v>34.215566000000003</v>
      </c>
      <c r="F33" s="208">
        <f t="shared" ref="F33:F38" si="10">(E33/$E$39)*100</f>
        <v>99.475847647133634</v>
      </c>
      <c r="G33" s="141"/>
      <c r="H33" s="180">
        <f t="shared" ref="H33:H38" si="11">(H6*F33)/100</f>
        <v>1004.7060612360497</v>
      </c>
      <c r="I33" s="176"/>
      <c r="J33" s="108" t="s">
        <v>78</v>
      </c>
      <c r="K33" s="89">
        <f>G26*1000</f>
        <v>37933</v>
      </c>
      <c r="L33" s="137">
        <f>E39*1000</f>
        <v>34395.852671063833</v>
      </c>
      <c r="M33" s="73"/>
    </row>
    <row r="34" spans="1:14" ht="17.399999999999999" x14ac:dyDescent="0.3">
      <c r="A34" s="73"/>
      <c r="B34" s="159">
        <v>2</v>
      </c>
      <c r="C34" s="240" t="s">
        <v>15</v>
      </c>
      <c r="D34" s="129">
        <f t="shared" si="8"/>
        <v>4331.7697635758086</v>
      </c>
      <c r="E34" s="74">
        <f t="shared" si="9"/>
        <v>0.16238552340425519</v>
      </c>
      <c r="F34" s="209">
        <f t="shared" si="10"/>
        <v>0.47210785834323882</v>
      </c>
      <c r="G34" s="211">
        <f>(G7/100)*F34</f>
        <v>0.12593872304901432</v>
      </c>
      <c r="H34" s="181">
        <f t="shared" si="11"/>
        <v>8.298984032760897</v>
      </c>
      <c r="I34" s="177">
        <f>(D7*H19)/1000000</f>
        <v>2569.0556889931968</v>
      </c>
      <c r="J34" s="108" t="s">
        <v>62</v>
      </c>
      <c r="K34" s="135">
        <f>K25/1000</f>
        <v>1.1272352574643276</v>
      </c>
      <c r="L34" s="138">
        <f>H39/1000</f>
        <v>1.0145596475318879</v>
      </c>
      <c r="M34" s="73"/>
    </row>
    <row r="35" spans="1:14" ht="17.399999999999999" x14ac:dyDescent="0.3">
      <c r="A35" s="73"/>
      <c r="B35" s="159">
        <v>3</v>
      </c>
      <c r="C35" s="240" t="s">
        <v>16</v>
      </c>
      <c r="D35" s="129">
        <f t="shared" si="8"/>
        <v>261.18700024344434</v>
      </c>
      <c r="E35" s="74">
        <f t="shared" si="9"/>
        <v>9.5047722695035253E-3</v>
      </c>
      <c r="F35" s="209">
        <f t="shared" si="10"/>
        <v>2.7633483491164023E-2</v>
      </c>
      <c r="G35" s="211">
        <f>(G8/100)*F35</f>
        <v>7.5935608499443571E-3</v>
      </c>
      <c r="H35" s="181">
        <f t="shared" si="11"/>
        <v>0.69006484223869335</v>
      </c>
      <c r="I35" s="177">
        <f>(D8*H20)/1000000</f>
        <v>2349.8014960651835</v>
      </c>
      <c r="J35" s="108" t="s">
        <v>79</v>
      </c>
      <c r="K35" s="89">
        <f>K33*K34</f>
        <v>42759.415021394343</v>
      </c>
      <c r="L35" s="137">
        <f>L33*L34</f>
        <v>34896.644162513265</v>
      </c>
      <c r="M35" s="73"/>
    </row>
    <row r="36" spans="1:14" ht="17.399999999999999" x14ac:dyDescent="0.3">
      <c r="A36" s="73"/>
      <c r="B36" s="159">
        <v>4</v>
      </c>
      <c r="C36" s="240" t="s">
        <v>18</v>
      </c>
      <c r="D36" s="129">
        <f t="shared" si="8"/>
        <v>66.831872515954274</v>
      </c>
      <c r="E36" s="74">
        <f t="shared" si="9"/>
        <v>2.1253241134751833E-3</v>
      </c>
      <c r="F36" s="209">
        <f t="shared" si="10"/>
        <v>6.1790127251683249E-3</v>
      </c>
      <c r="G36" s="211">
        <f>(G9/100)*F36</f>
        <v>1.9430212460520818E-3</v>
      </c>
      <c r="H36" s="181">
        <f t="shared" si="11"/>
        <v>0.20003403728106181</v>
      </c>
      <c r="I36" s="177">
        <f>(D9*H21)/1000000</f>
        <v>681.15378627622988</v>
      </c>
      <c r="J36" s="108"/>
      <c r="K36" s="90"/>
      <c r="L36" s="139"/>
      <c r="M36" s="73"/>
    </row>
    <row r="37" spans="1:14" ht="17.399999999999999" x14ac:dyDescent="0.3">
      <c r="A37" s="73"/>
      <c r="B37" s="159">
        <v>5</v>
      </c>
      <c r="C37" s="240" t="s">
        <v>17</v>
      </c>
      <c r="D37" s="129">
        <f t="shared" si="8"/>
        <v>91.057711164015927</v>
      </c>
      <c r="E37" s="74">
        <f t="shared" si="9"/>
        <v>2.7898241843971497E-3</v>
      </c>
      <c r="F37" s="209">
        <f t="shared" si="10"/>
        <v>8.1109318936702576E-3</v>
      </c>
      <c r="G37" s="211">
        <f>(G10/100)*F37</f>
        <v>2.6473456563157094E-3</v>
      </c>
      <c r="H37" s="181">
        <f t="shared" si="11"/>
        <v>0.26188602170537523</v>
      </c>
      <c r="I37" s="177">
        <f>(D10*H22)/1000000</f>
        <v>891.77150889972654</v>
      </c>
      <c r="J37" s="108" t="s">
        <v>80</v>
      </c>
      <c r="K37" s="270">
        <f>K35</f>
        <v>42759.415021394343</v>
      </c>
      <c r="L37" s="271"/>
      <c r="M37" s="73"/>
    </row>
    <row r="38" spans="1:14" ht="17.399999999999999" x14ac:dyDescent="0.3">
      <c r="A38" s="73"/>
      <c r="B38" s="160">
        <v>6</v>
      </c>
      <c r="C38" s="240" t="s">
        <v>35</v>
      </c>
      <c r="D38" s="130">
        <f t="shared" si="8"/>
        <v>125.87136394363006</v>
      </c>
      <c r="E38" s="123">
        <f t="shared" si="9"/>
        <v>3.4812270921985734E-3</v>
      </c>
      <c r="F38" s="210">
        <f t="shared" si="10"/>
        <v>1.0121066413123759E-2</v>
      </c>
      <c r="G38" s="212">
        <f>(G11/100)*F38</f>
        <v>3.6594924727515695E-3</v>
      </c>
      <c r="H38" s="182">
        <f t="shared" si="11"/>
        <v>0.4026173618521276</v>
      </c>
      <c r="I38" s="177">
        <f>(D11*H23)/1000000</f>
        <v>1370.9883786467433</v>
      </c>
      <c r="J38" s="108" t="s">
        <v>81</v>
      </c>
      <c r="K38" s="272">
        <f>-I39</f>
        <v>-7862.7708588810801</v>
      </c>
      <c r="L38" s="273"/>
      <c r="M38" s="73"/>
    </row>
    <row r="39" spans="1:14" ht="17.399999999999999" x14ac:dyDescent="0.3">
      <c r="A39" s="73"/>
      <c r="B39" s="159">
        <v>7</v>
      </c>
      <c r="C39" s="217" t="s">
        <v>86</v>
      </c>
      <c r="D39" s="129">
        <f>SUM(D33:D38)</f>
        <v>583458.27631501306</v>
      </c>
      <c r="E39" s="74">
        <f>SUM(E33:E38)</f>
        <v>34.395852671063835</v>
      </c>
      <c r="F39" s="74">
        <f>SUM(F33:F38)</f>
        <v>99.999999999999986</v>
      </c>
      <c r="G39" s="133">
        <f>SUM(G34:G38)</f>
        <v>0.14178214327407807</v>
      </c>
      <c r="H39" s="181">
        <f>SUM(H33:H38)</f>
        <v>1014.5596475318878</v>
      </c>
      <c r="I39" s="178">
        <f>SUM(I34:I38)</f>
        <v>7862.7708588810801</v>
      </c>
      <c r="J39" s="108" t="s">
        <v>82</v>
      </c>
      <c r="K39" s="272">
        <f>-L35</f>
        <v>-34896.644162513265</v>
      </c>
      <c r="L39" s="273"/>
      <c r="M39" s="204"/>
    </row>
    <row r="40" spans="1:14" ht="18" thickBot="1" x14ac:dyDescent="0.35">
      <c r="A40" s="73"/>
      <c r="B40" s="162">
        <v>8</v>
      </c>
      <c r="C40" s="57"/>
      <c r="D40" s="131" t="s">
        <v>65</v>
      </c>
      <c r="E40" s="127"/>
      <c r="F40" s="85">
        <f>G26-E39</f>
        <v>3.5371473289361646</v>
      </c>
      <c r="G40" s="127"/>
      <c r="H40" s="173"/>
      <c r="I40" s="179"/>
      <c r="J40" s="147" t="s">
        <v>69</v>
      </c>
      <c r="K40" s="145">
        <f>K37+K38+K39</f>
        <v>0</v>
      </c>
      <c r="L40" s="146"/>
      <c r="M40" s="205"/>
    </row>
    <row r="41" spans="1:14" ht="17.399999999999999" x14ac:dyDescent="0.3">
      <c r="A41" s="73"/>
      <c r="B41" s="203"/>
      <c r="C41" s="203"/>
      <c r="D41" s="203"/>
      <c r="E41" s="213"/>
      <c r="F41" s="213"/>
      <c r="G41" s="213"/>
      <c r="H41" s="213"/>
      <c r="I41" s="214"/>
      <c r="J41" s="215"/>
      <c r="K41" s="216"/>
      <c r="L41" s="216"/>
      <c r="M41" s="205"/>
      <c r="N41" s="73"/>
    </row>
    <row r="42" spans="1:14" ht="13.8" thickBot="1" x14ac:dyDescent="0.3">
      <c r="A42" s="73"/>
      <c r="B42" s="73"/>
      <c r="C42" s="73"/>
      <c r="D42" s="73"/>
      <c r="E42" s="73"/>
      <c r="F42" s="73"/>
      <c r="G42" s="73"/>
      <c r="H42" s="45"/>
      <c r="I42" s="45"/>
      <c r="J42" s="45"/>
      <c r="K42" s="73"/>
      <c r="L42" s="73"/>
      <c r="M42" s="73"/>
      <c r="N42" s="73"/>
    </row>
    <row r="43" spans="1:14" ht="18" thickBot="1" x14ac:dyDescent="0.35">
      <c r="A43" s="73"/>
      <c r="B43" s="116"/>
      <c r="C43" s="120" t="s">
        <v>61</v>
      </c>
      <c r="D43" s="118"/>
      <c r="E43" s="118"/>
      <c r="F43" s="117" t="s">
        <v>103</v>
      </c>
      <c r="G43" s="118"/>
      <c r="H43" s="118"/>
      <c r="I43" s="118"/>
      <c r="J43" s="118"/>
      <c r="K43" s="118"/>
      <c r="L43" s="119"/>
      <c r="M43" s="206"/>
    </row>
    <row r="44" spans="1:14" ht="18" thickBot="1" x14ac:dyDescent="0.35">
      <c r="A44" s="73"/>
      <c r="B44" s="111"/>
      <c r="C44" s="115"/>
      <c r="D44" s="82" t="s">
        <v>50</v>
      </c>
      <c r="E44" s="83" t="s">
        <v>51</v>
      </c>
      <c r="F44" s="83" t="s">
        <v>52</v>
      </c>
      <c r="G44" s="83" t="s">
        <v>53</v>
      </c>
      <c r="H44" s="83" t="s">
        <v>54</v>
      </c>
      <c r="I44" s="83" t="s">
        <v>55</v>
      </c>
      <c r="J44" s="110" t="s">
        <v>56</v>
      </c>
      <c r="K44" s="110" t="s">
        <v>57</v>
      </c>
      <c r="L44" s="84" t="s">
        <v>58</v>
      </c>
      <c r="M44" s="73"/>
    </row>
    <row r="45" spans="1:14" ht="17.399999999999999" x14ac:dyDescent="0.3">
      <c r="A45" s="73"/>
      <c r="B45" s="111"/>
      <c r="C45" s="166"/>
      <c r="D45" s="258" t="s">
        <v>44</v>
      </c>
      <c r="E45" s="259"/>
      <c r="F45" s="259"/>
      <c r="G45" s="260"/>
      <c r="H45" s="104" t="s">
        <v>42</v>
      </c>
      <c r="I45" s="78"/>
      <c r="J45" s="256" t="s">
        <v>47</v>
      </c>
      <c r="K45" s="257"/>
      <c r="L45" s="94" t="s">
        <v>97</v>
      </c>
      <c r="M45" s="73"/>
    </row>
    <row r="46" spans="1:14" ht="18" thickBot="1" x14ac:dyDescent="0.35">
      <c r="A46" s="73"/>
      <c r="B46" s="111"/>
      <c r="C46" s="167" t="s">
        <v>25</v>
      </c>
      <c r="D46" s="170" t="s">
        <v>41</v>
      </c>
      <c r="E46" s="98" t="s">
        <v>39</v>
      </c>
      <c r="F46" s="99" t="s">
        <v>49</v>
      </c>
      <c r="G46" s="98" t="s">
        <v>40</v>
      </c>
      <c r="H46" s="105" t="s">
        <v>43</v>
      </c>
      <c r="I46" s="70"/>
      <c r="J46" s="95" t="s">
        <v>45</v>
      </c>
      <c r="K46" s="96" t="s">
        <v>46</v>
      </c>
      <c r="L46" s="97" t="s">
        <v>48</v>
      </c>
      <c r="M46" s="207"/>
    </row>
    <row r="47" spans="1:14" ht="17.399999999999999" x14ac:dyDescent="0.3">
      <c r="A47" s="73"/>
      <c r="B47" s="112">
        <v>1</v>
      </c>
      <c r="C47" s="168" t="s">
        <v>20</v>
      </c>
      <c r="D47" s="252">
        <v>3.5659999999999998</v>
      </c>
      <c r="E47" s="255">
        <f>(E48-F47)/D7*10000</f>
        <v>2.2478261529356423</v>
      </c>
      <c r="F47" s="248">
        <v>10</v>
      </c>
      <c r="G47" s="93"/>
      <c r="H47" s="106"/>
      <c r="I47" s="108" t="s">
        <v>78</v>
      </c>
      <c r="J47" s="89">
        <f>G26*1000</f>
        <v>37933</v>
      </c>
      <c r="K47" s="76">
        <f>E39*1000</f>
        <v>34395.852671063833</v>
      </c>
      <c r="L47" s="101"/>
      <c r="M47" s="207"/>
    </row>
    <row r="48" spans="1:14" ht="17.399999999999999" x14ac:dyDescent="0.3">
      <c r="A48" s="73"/>
      <c r="B48" s="112">
        <v>2</v>
      </c>
      <c r="C48" s="168" t="s">
        <v>15</v>
      </c>
      <c r="D48" s="171">
        <f>(E48/D7)*10000</f>
        <v>3.7653459186305902</v>
      </c>
      <c r="E48" s="249">
        <v>24.8125</v>
      </c>
      <c r="F48" s="100">
        <f>E48-$F$47</f>
        <v>14.8125</v>
      </c>
      <c r="G48" s="86">
        <f>F48/100</f>
        <v>0.14812500000000001</v>
      </c>
      <c r="H48" s="107">
        <f>H19*G48</f>
        <v>5774.7905660670031</v>
      </c>
      <c r="I48" s="108" t="s">
        <v>62</v>
      </c>
      <c r="J48" s="113">
        <f>K25/1000</f>
        <v>1.1272352574643276</v>
      </c>
      <c r="K48" s="114">
        <f>H39/1000</f>
        <v>1.0145596475318879</v>
      </c>
      <c r="L48" s="102"/>
      <c r="M48" s="207"/>
    </row>
    <row r="49" spans="1:13" ht="17.399999999999999" x14ac:dyDescent="0.3">
      <c r="A49" s="73"/>
      <c r="B49" s="112">
        <v>3</v>
      </c>
      <c r="C49" s="168" t="s">
        <v>16</v>
      </c>
      <c r="D49" s="171">
        <f>(E49/D8)*10000</f>
        <v>9.0508940852819819</v>
      </c>
      <c r="E49" s="250">
        <v>82.25</v>
      </c>
      <c r="F49" s="100">
        <f t="shared" ref="F49:F52" si="12">E49-$F$47</f>
        <v>72.25</v>
      </c>
      <c r="G49" s="86">
        <f t="shared" ref="G49:G52" si="13">F49/100</f>
        <v>0.72250000000000003</v>
      </c>
      <c r="H49" s="107">
        <f>H20*G49</f>
        <v>18682.053159913015</v>
      </c>
      <c r="I49" s="108" t="s">
        <v>98</v>
      </c>
      <c r="J49" s="89">
        <f>J47*J48</f>
        <v>42759.415021394343</v>
      </c>
      <c r="K49" s="76">
        <f>K47*K48</f>
        <v>34896.644162513265</v>
      </c>
      <c r="L49" s="102"/>
      <c r="M49" s="207"/>
    </row>
    <row r="50" spans="1:13" ht="17.399999999999999" x14ac:dyDescent="0.3">
      <c r="A50" s="73"/>
      <c r="B50" s="112">
        <v>4</v>
      </c>
      <c r="C50" s="168" t="s">
        <v>18</v>
      </c>
      <c r="D50" s="171">
        <f>(E50/D9)*10000</f>
        <v>15.905779504613889</v>
      </c>
      <c r="E50" s="250">
        <v>163.75</v>
      </c>
      <c r="F50" s="100">
        <f t="shared" si="12"/>
        <v>153.75</v>
      </c>
      <c r="G50" s="86">
        <f t="shared" si="13"/>
        <v>1.5375000000000001</v>
      </c>
      <c r="H50" s="107">
        <f>H21*G50</f>
        <v>10172.646395334663</v>
      </c>
      <c r="I50" s="108" t="s">
        <v>99</v>
      </c>
      <c r="J50" s="90">
        <f>D47</f>
        <v>3.5659999999999998</v>
      </c>
      <c r="K50" s="88">
        <f>J50</f>
        <v>3.5659999999999998</v>
      </c>
      <c r="L50" s="102"/>
      <c r="M50" s="207"/>
    </row>
    <row r="51" spans="1:13" ht="17.399999999999999" x14ac:dyDescent="0.3">
      <c r="A51" s="73"/>
      <c r="B51" s="112">
        <v>5</v>
      </c>
      <c r="C51" s="168" t="s">
        <v>17</v>
      </c>
      <c r="D51" s="171">
        <f>(E51/D10)*10000</f>
        <v>17.873569608992764</v>
      </c>
      <c r="E51" s="250">
        <v>176.8125</v>
      </c>
      <c r="F51" s="100">
        <f t="shared" si="12"/>
        <v>166.8125</v>
      </c>
      <c r="G51" s="86">
        <f t="shared" si="13"/>
        <v>1.6681250000000001</v>
      </c>
      <c r="H51" s="107">
        <f>H22*G51</f>
        <v>15037.668799112009</v>
      </c>
      <c r="I51" s="109" t="s">
        <v>83</v>
      </c>
      <c r="J51" s="91">
        <f>J49*J50</f>
        <v>152480.07396629223</v>
      </c>
      <c r="K51" s="87">
        <f>K49*K50</f>
        <v>124441.43308352229</v>
      </c>
      <c r="L51" s="102"/>
      <c r="M51" s="207"/>
    </row>
    <row r="52" spans="1:13" ht="18" thickBot="1" x14ac:dyDescent="0.35">
      <c r="A52" s="73"/>
      <c r="B52" s="112">
        <v>6</v>
      </c>
      <c r="C52" s="168" t="s">
        <v>35</v>
      </c>
      <c r="D52" s="171">
        <f>(E52/D11)*10000</f>
        <v>19.496455189965459</v>
      </c>
      <c r="E52" s="251">
        <v>214.5</v>
      </c>
      <c r="F52" s="100">
        <f t="shared" si="12"/>
        <v>204.5</v>
      </c>
      <c r="G52" s="86">
        <f t="shared" si="13"/>
        <v>2.0449999999999999</v>
      </c>
      <c r="H52" s="107">
        <f>H23*G52</f>
        <v>25483.286987207688</v>
      </c>
      <c r="I52" s="108"/>
      <c r="J52" s="92"/>
      <c r="K52" s="77"/>
      <c r="L52" s="103"/>
      <c r="M52" s="207"/>
    </row>
    <row r="53" spans="1:13" ht="18" thickBot="1" x14ac:dyDescent="0.35">
      <c r="A53" s="73"/>
      <c r="B53" s="281">
        <v>7</v>
      </c>
      <c r="C53" s="282" t="s">
        <v>86</v>
      </c>
      <c r="D53" s="283"/>
      <c r="E53" s="284"/>
      <c r="F53" s="285"/>
      <c r="G53" s="283"/>
      <c r="H53" s="286">
        <f>SUM(H48:H52)</f>
        <v>75150.445907634377</v>
      </c>
      <c r="I53" s="287"/>
      <c r="J53" s="288">
        <f>-J51</f>
        <v>-152480.07396629223</v>
      </c>
      <c r="K53" s="289">
        <f>K51</f>
        <v>124441.43308352229</v>
      </c>
      <c r="L53" s="122">
        <f>H53+J53+K53</f>
        <v>47111.805024864443</v>
      </c>
      <c r="M53" s="73"/>
    </row>
    <row r="54" spans="1:13" ht="18" thickBot="1" x14ac:dyDescent="0.35">
      <c r="A54" s="73"/>
      <c r="B54" s="274">
        <v>8</v>
      </c>
      <c r="C54" s="275" t="s">
        <v>100</v>
      </c>
      <c r="D54" s="276"/>
      <c r="E54" s="277">
        <f>(E48-F47)/D7 * 10000</f>
        <v>2.2478261529356423</v>
      </c>
      <c r="F54" s="278"/>
      <c r="G54" s="279"/>
      <c r="H54" s="280"/>
      <c r="I54" s="280"/>
      <c r="J54" s="280"/>
      <c r="K54" s="279"/>
      <c r="L54" s="234"/>
      <c r="M54" s="73"/>
    </row>
    <row r="55" spans="1:13" x14ac:dyDescent="0.25">
      <c r="A55" s="73"/>
      <c r="B55" s="73"/>
      <c r="C55" s="73"/>
      <c r="D55" s="73"/>
      <c r="E55" s="73"/>
      <c r="F55" s="73"/>
      <c r="G55" s="73"/>
      <c r="H55" s="45"/>
      <c r="I55" s="45"/>
      <c r="J55" s="45"/>
      <c r="K55" s="73"/>
      <c r="L55" s="73"/>
      <c r="M55" s="73"/>
    </row>
    <row r="56" spans="1:13" x14ac:dyDescent="0.25">
      <c r="A56" s="73"/>
      <c r="B56" s="73"/>
      <c r="C56" s="73"/>
      <c r="D56" s="73"/>
      <c r="E56" s="73"/>
      <c r="F56" s="73"/>
      <c r="G56" s="73"/>
      <c r="H56" s="45"/>
      <c r="I56" s="45"/>
      <c r="J56" s="45"/>
      <c r="K56" s="73"/>
      <c r="L56" s="73"/>
      <c r="M56" s="73"/>
    </row>
    <row r="60" spans="1:13" x14ac:dyDescent="0.25">
      <c r="K60" s="193"/>
    </row>
    <row r="61" spans="1:13" ht="17.399999999999999" x14ac:dyDescent="0.3">
      <c r="K61" s="253"/>
    </row>
    <row r="1000" spans="38:38" s="72" customFormat="1" x14ac:dyDescent="0.25">
      <c r="AL1000" s="72" t="s">
        <v>87</v>
      </c>
    </row>
    <row r="1001" spans="38:38" s="72" customFormat="1" x14ac:dyDescent="0.25">
      <c r="AL1001" s="243">
        <v>41288</v>
      </c>
    </row>
    <row r="1002" spans="38:38" s="72" customFormat="1" x14ac:dyDescent="0.25">
      <c r="AL1002" s="72" t="s">
        <v>88</v>
      </c>
    </row>
    <row r="1003" spans="38:38" s="72" customFormat="1" x14ac:dyDescent="0.25">
      <c r="AL1003" s="72" t="s">
        <v>89</v>
      </c>
    </row>
    <row r="1004" spans="38:38" s="72" customFormat="1" x14ac:dyDescent="0.25">
      <c r="AL1004" s="72" t="s">
        <v>90</v>
      </c>
    </row>
    <row r="1005" spans="38:38" s="72" customFormat="1" x14ac:dyDescent="0.25">
      <c r="AL1005" s="72" t="s">
        <v>91</v>
      </c>
    </row>
    <row r="1006" spans="38:38" s="72" customFormat="1" x14ac:dyDescent="0.25">
      <c r="AL1006" s="72" t="s">
        <v>92</v>
      </c>
    </row>
    <row r="1007" spans="38:38" s="72" customFormat="1" x14ac:dyDescent="0.25">
      <c r="AL1007" s="72" t="s">
        <v>93</v>
      </c>
    </row>
    <row r="1008" spans="38:38" s="72" customFormat="1" x14ac:dyDescent="0.25">
      <c r="AL1008" s="72" t="s">
        <v>94</v>
      </c>
    </row>
  </sheetData>
  <mergeCells count="12">
    <mergeCell ref="C54:D54"/>
    <mergeCell ref="K31:L31"/>
    <mergeCell ref="D2:H2"/>
    <mergeCell ref="E4:E5"/>
    <mergeCell ref="G4:G5"/>
    <mergeCell ref="D14:K14"/>
    <mergeCell ref="D29:L29"/>
    <mergeCell ref="K37:L37"/>
    <mergeCell ref="K38:L38"/>
    <mergeCell ref="K39:L39"/>
    <mergeCell ref="D45:G45"/>
    <mergeCell ref="J45:K45"/>
  </mergeCells>
  <conditionalFormatting sqref="E54">
    <cfRule type="cellIs" dxfId="2" priority="1" stopIfTrue="1" operator="lessThan">
      <formula>$D$47</formula>
    </cfRule>
  </conditionalFormatting>
  <hyperlinks>
    <hyperlink ref="J10" r:id="rId1"/>
  </hyperlinks>
  <pageMargins left="0.7" right="0.7" top="0.75" bottom="0.75" header="0.3" footer="0.3"/>
  <pageSetup orientation="portrait" r:id="rId2"/>
  <ignoredErrors>
    <ignoredError sqref="G39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8"/>
  <sheetViews>
    <sheetView tabSelected="1" zoomScale="50" zoomScaleNormal="50" workbookViewId="0">
      <selection activeCell="Q13" sqref="Q13"/>
    </sheetView>
  </sheetViews>
  <sheetFormatPr defaultRowHeight="13.2" x14ac:dyDescent="0.25"/>
  <cols>
    <col min="1" max="1" width="4.21875" style="72" customWidth="1"/>
    <col min="2" max="2" width="4.109375" style="72" customWidth="1"/>
    <col min="3" max="3" width="20.6640625" style="72" customWidth="1"/>
    <col min="4" max="4" width="15.21875" style="72" customWidth="1"/>
    <col min="5" max="5" width="17.109375" style="72" customWidth="1"/>
    <col min="6" max="7" width="15.21875" style="72" customWidth="1"/>
    <col min="8" max="8" width="18.33203125" style="1" customWidth="1"/>
    <col min="9" max="9" width="22.6640625" style="1" customWidth="1"/>
    <col min="10" max="10" width="21" style="1" customWidth="1"/>
    <col min="11" max="11" width="16.77734375" style="72" customWidth="1"/>
    <col min="12" max="12" width="16.88671875" style="72" customWidth="1"/>
    <col min="13" max="13" width="3.77734375" style="72" customWidth="1"/>
    <col min="14" max="14" width="8.33203125" style="72" customWidth="1"/>
    <col min="15" max="37" width="8.88671875" style="72"/>
    <col min="38" max="38" width="15.44140625" style="72" bestFit="1" customWidth="1"/>
    <col min="39" max="16384" width="8.88671875" style="72"/>
  </cols>
  <sheetData>
    <row r="1" spans="1:14" ht="13.8" thickBot="1" x14ac:dyDescent="0.3">
      <c r="A1" s="73"/>
      <c r="B1" s="73"/>
      <c r="C1" s="73"/>
      <c r="D1" s="73"/>
      <c r="E1" s="73"/>
      <c r="F1" s="73"/>
      <c r="G1" s="73"/>
      <c r="H1" s="45"/>
      <c r="I1" s="45"/>
      <c r="J1" s="45"/>
      <c r="K1" s="73"/>
      <c r="L1" s="73"/>
      <c r="M1" s="73"/>
    </row>
    <row r="2" spans="1:14" s="73" customFormat="1" ht="17.399999999999999" x14ac:dyDescent="0.3">
      <c r="B2" s="241"/>
      <c r="C2" s="194" t="s">
        <v>84</v>
      </c>
      <c r="D2" s="261" t="s">
        <v>85</v>
      </c>
      <c r="E2" s="261"/>
      <c r="F2" s="261"/>
      <c r="G2" s="261"/>
      <c r="H2" s="262"/>
      <c r="I2" s="218"/>
      <c r="J2" s="219"/>
      <c r="K2" s="220"/>
    </row>
    <row r="3" spans="1:14" s="44" customFormat="1" ht="17.399999999999999" x14ac:dyDescent="0.3">
      <c r="A3" s="184"/>
      <c r="B3" s="242"/>
      <c r="C3" s="59" t="s">
        <v>27</v>
      </c>
      <c r="D3" s="60" t="s">
        <v>28</v>
      </c>
      <c r="E3" s="60" t="s">
        <v>29</v>
      </c>
      <c r="F3" s="60" t="s">
        <v>30</v>
      </c>
      <c r="G3" s="60" t="s">
        <v>31</v>
      </c>
      <c r="H3" s="61" t="s">
        <v>32</v>
      </c>
      <c r="I3" s="221"/>
      <c r="J3" s="222"/>
      <c r="K3" s="223"/>
      <c r="L3" s="184"/>
      <c r="M3" s="184"/>
    </row>
    <row r="4" spans="1:14" ht="22.8" x14ac:dyDescent="0.4">
      <c r="A4" s="73"/>
      <c r="B4" s="242"/>
      <c r="C4" s="69" t="s">
        <v>33</v>
      </c>
      <c r="D4" s="68">
        <v>379.48200000000003</v>
      </c>
      <c r="E4" s="265" t="s">
        <v>4</v>
      </c>
      <c r="F4" s="62" t="s">
        <v>23</v>
      </c>
      <c r="G4" s="267" t="s">
        <v>24</v>
      </c>
      <c r="H4" s="63" t="s">
        <v>8</v>
      </c>
      <c r="I4" s="224"/>
      <c r="J4" s="225"/>
      <c r="K4" s="226"/>
      <c r="L4" s="73"/>
      <c r="M4" s="73"/>
    </row>
    <row r="5" spans="1:14" ht="18" thickBot="1" x14ac:dyDescent="0.35">
      <c r="A5" s="73"/>
      <c r="B5" s="242"/>
      <c r="C5" s="67"/>
      <c r="D5" s="66" t="s">
        <v>11</v>
      </c>
      <c r="E5" s="266"/>
      <c r="F5" s="64" t="s">
        <v>22</v>
      </c>
      <c r="G5" s="268"/>
      <c r="H5" s="65" t="s">
        <v>9</v>
      </c>
      <c r="I5" s="227"/>
      <c r="J5" s="228"/>
      <c r="K5" s="226"/>
      <c r="L5" s="73"/>
      <c r="M5" s="73"/>
    </row>
    <row r="6" spans="1:14" ht="17.399999999999999" x14ac:dyDescent="0.3">
      <c r="A6" s="73"/>
      <c r="B6" s="159">
        <v>1</v>
      </c>
      <c r="C6" s="23" t="s">
        <v>20</v>
      </c>
      <c r="D6" s="25"/>
      <c r="E6" s="18">
        <v>6.4169999999999998</v>
      </c>
      <c r="F6" s="19">
        <f>$D$4/E6</f>
        <v>59.136979897148208</v>
      </c>
      <c r="G6" s="5">
        <f>(E6/$D$4)*1000</f>
        <v>16.90989295934985</v>
      </c>
      <c r="H6" s="20">
        <v>1010</v>
      </c>
      <c r="I6" s="221"/>
      <c r="J6" s="229"/>
      <c r="K6" s="230"/>
      <c r="L6" s="185"/>
      <c r="M6" s="199"/>
    </row>
    <row r="7" spans="1:14" ht="17.399999999999999" x14ac:dyDescent="0.3">
      <c r="A7" s="73"/>
      <c r="B7" s="159">
        <v>2</v>
      </c>
      <c r="C7" s="23" t="s">
        <v>15</v>
      </c>
      <c r="D7" s="26">
        <v>65897</v>
      </c>
      <c r="E7" s="4">
        <v>10.122999999999999</v>
      </c>
      <c r="F7" s="5">
        <f>$D$4/E7</f>
        <v>37.487108564654754</v>
      </c>
      <c r="G7" s="5">
        <f>(E7/$D$4)*1000</f>
        <v>26.675837062100438</v>
      </c>
      <c r="H7" s="14">
        <f>D7/F7</f>
        <v>1757.8576348812326</v>
      </c>
      <c r="I7" s="221"/>
      <c r="J7" s="231"/>
      <c r="K7" s="226"/>
      <c r="L7" s="73"/>
      <c r="M7" s="73"/>
      <c r="N7" s="3"/>
    </row>
    <row r="8" spans="1:14" ht="17.399999999999999" x14ac:dyDescent="0.3">
      <c r="A8" s="73"/>
      <c r="B8" s="159">
        <v>3</v>
      </c>
      <c r="C8" s="23" t="s">
        <v>16</v>
      </c>
      <c r="D8" s="26">
        <v>90875</v>
      </c>
      <c r="E8" s="4">
        <v>10.428000000000001</v>
      </c>
      <c r="F8" s="5">
        <f t="shared" ref="F8:F11" si="0">$D$4/E8</f>
        <v>36.390678941311855</v>
      </c>
      <c r="G8" s="5">
        <f t="shared" ref="G8:G11" si="1">(E8/$D$4)*1000</f>
        <v>27.47956424810663</v>
      </c>
      <c r="H8" s="14">
        <f t="shared" ref="H8:H11" si="2">D8/F8</f>
        <v>2497.20540104669</v>
      </c>
      <c r="I8" s="224"/>
      <c r="J8" s="244" t="s">
        <v>95</v>
      </c>
      <c r="K8" s="226"/>
      <c r="L8" s="186"/>
      <c r="M8" s="73"/>
      <c r="N8" s="3"/>
    </row>
    <row r="9" spans="1:14" ht="17.399999999999999" x14ac:dyDescent="0.3">
      <c r="A9" s="73"/>
      <c r="B9" s="159">
        <v>4</v>
      </c>
      <c r="C9" s="23" t="s">
        <v>18</v>
      </c>
      <c r="D9" s="26">
        <v>102950</v>
      </c>
      <c r="E9" s="4">
        <v>11.933</v>
      </c>
      <c r="F9" s="5">
        <f t="shared" si="0"/>
        <v>31.801055895416077</v>
      </c>
      <c r="G9" s="5">
        <f t="shared" si="1"/>
        <v>31.445496756104369</v>
      </c>
      <c r="H9" s="14">
        <f t="shared" si="2"/>
        <v>3237.3138910409448</v>
      </c>
      <c r="I9" s="221"/>
      <c r="J9" s="245">
        <v>41298</v>
      </c>
      <c r="K9" s="226"/>
      <c r="L9" s="73"/>
      <c r="M9" s="73"/>
      <c r="N9" s="3"/>
    </row>
    <row r="10" spans="1:14" ht="17.399999999999999" x14ac:dyDescent="0.3">
      <c r="A10" s="73"/>
      <c r="B10" s="159">
        <v>5</v>
      </c>
      <c r="C10" s="23" t="s">
        <v>17</v>
      </c>
      <c r="D10" s="26">
        <v>98924</v>
      </c>
      <c r="E10" s="4">
        <v>12.385999999999999</v>
      </c>
      <c r="F10" s="5">
        <f t="shared" si="0"/>
        <v>30.637978362667532</v>
      </c>
      <c r="G10" s="5">
        <f t="shared" si="1"/>
        <v>32.639229265156182</v>
      </c>
      <c r="H10" s="14">
        <f t="shared" si="2"/>
        <v>3228.8031158263102</v>
      </c>
      <c r="I10" s="221"/>
      <c r="J10" s="246" t="s">
        <v>96</v>
      </c>
      <c r="K10" s="226"/>
      <c r="L10" s="187"/>
      <c r="M10" s="187"/>
      <c r="N10" s="3"/>
    </row>
    <row r="11" spans="1:14" ht="18" thickBot="1" x14ac:dyDescent="0.35">
      <c r="A11" s="73"/>
      <c r="B11" s="163">
        <v>6</v>
      </c>
      <c r="C11" s="24" t="s">
        <v>19</v>
      </c>
      <c r="D11" s="27">
        <v>110020</v>
      </c>
      <c r="E11" s="15">
        <v>13.721</v>
      </c>
      <c r="F11" s="16">
        <f t="shared" si="0"/>
        <v>27.657022082938564</v>
      </c>
      <c r="G11" s="16">
        <f t="shared" si="1"/>
        <v>36.157182685871796</v>
      </c>
      <c r="H11" s="17">
        <f t="shared" si="2"/>
        <v>3978.0132390996146</v>
      </c>
      <c r="I11" s="232"/>
      <c r="J11" s="233"/>
      <c r="K11" s="234"/>
      <c r="L11" s="73"/>
      <c r="M11" s="73"/>
      <c r="N11" s="3"/>
    </row>
    <row r="12" spans="1:14" ht="17.399999999999999" x14ac:dyDescent="0.3">
      <c r="A12" s="73"/>
      <c r="B12" s="73"/>
      <c r="C12" s="190"/>
      <c r="D12" s="183"/>
      <c r="E12" s="191"/>
      <c r="F12" s="192"/>
      <c r="G12" s="192"/>
      <c r="H12" s="183"/>
      <c r="I12" s="183"/>
      <c r="J12" s="193"/>
      <c r="K12" s="73"/>
      <c r="L12" s="188"/>
      <c r="M12" s="187"/>
      <c r="N12" s="3"/>
    </row>
    <row r="13" spans="1:14" ht="13.8" thickBot="1" x14ac:dyDescent="0.3">
      <c r="A13" s="73"/>
      <c r="B13" s="73"/>
      <c r="C13" s="73"/>
      <c r="D13" s="45">
        <v>1</v>
      </c>
      <c r="E13" s="45">
        <v>2</v>
      </c>
      <c r="F13" s="45">
        <v>3</v>
      </c>
      <c r="G13" s="45">
        <v>4</v>
      </c>
      <c r="H13" s="45">
        <v>5</v>
      </c>
      <c r="I13" s="45">
        <v>6</v>
      </c>
      <c r="J13" s="45">
        <v>7</v>
      </c>
      <c r="K13" s="45">
        <v>8</v>
      </c>
      <c r="L13" s="189"/>
      <c r="M13" s="73"/>
      <c r="N13" s="2"/>
    </row>
    <row r="14" spans="1:14" ht="17.399999999999999" x14ac:dyDescent="0.3">
      <c r="A14" s="73"/>
      <c r="B14" s="241"/>
      <c r="C14" s="236" t="s">
        <v>59</v>
      </c>
      <c r="D14" s="263" t="s">
        <v>104</v>
      </c>
      <c r="E14" s="263"/>
      <c r="F14" s="263"/>
      <c r="G14" s="263"/>
      <c r="H14" s="263"/>
      <c r="I14" s="263"/>
      <c r="J14" s="263"/>
      <c r="K14" s="264"/>
      <c r="L14" s="290"/>
      <c r="M14" s="172"/>
    </row>
    <row r="15" spans="1:14" ht="18" thickBot="1" x14ac:dyDescent="0.35">
      <c r="A15" s="73"/>
      <c r="B15" s="242"/>
      <c r="C15" s="158"/>
      <c r="D15" s="82" t="s">
        <v>50</v>
      </c>
      <c r="E15" s="83" t="s">
        <v>51</v>
      </c>
      <c r="F15" s="83" t="s">
        <v>52</v>
      </c>
      <c r="G15" s="83" t="s">
        <v>53</v>
      </c>
      <c r="H15" s="83" t="s">
        <v>54</v>
      </c>
      <c r="I15" s="83" t="s">
        <v>55</v>
      </c>
      <c r="J15" s="83" t="s">
        <v>56</v>
      </c>
      <c r="K15" s="84" t="s">
        <v>57</v>
      </c>
      <c r="L15" s="242"/>
      <c r="M15" s="200"/>
    </row>
    <row r="16" spans="1:14" ht="17.399999999999999" x14ac:dyDescent="0.3">
      <c r="A16" s="73"/>
      <c r="B16" s="242"/>
      <c r="C16" s="166"/>
      <c r="D16" s="79"/>
      <c r="E16" s="121" t="s">
        <v>0</v>
      </c>
      <c r="F16" s="254"/>
      <c r="G16" s="31" t="s">
        <v>5</v>
      </c>
      <c r="H16" s="32" t="s">
        <v>13</v>
      </c>
      <c r="I16" s="33" t="s">
        <v>13</v>
      </c>
      <c r="J16" s="34" t="s">
        <v>21</v>
      </c>
      <c r="K16" s="35" t="s">
        <v>10</v>
      </c>
      <c r="L16" s="242"/>
      <c r="M16" s="201"/>
    </row>
    <row r="17" spans="1:13" ht="18" thickBot="1" x14ac:dyDescent="0.35">
      <c r="A17" s="73"/>
      <c r="B17" s="242"/>
      <c r="C17" s="167" t="s">
        <v>25</v>
      </c>
      <c r="D17" s="51" t="s">
        <v>3</v>
      </c>
      <c r="E17" s="36" t="s">
        <v>1</v>
      </c>
      <c r="F17" s="37" t="s">
        <v>2</v>
      </c>
      <c r="G17" s="38" t="s">
        <v>6</v>
      </c>
      <c r="H17" s="39" t="s">
        <v>7</v>
      </c>
      <c r="I17" s="40" t="s">
        <v>14</v>
      </c>
      <c r="J17" s="41" t="s">
        <v>13</v>
      </c>
      <c r="K17" s="42" t="s">
        <v>34</v>
      </c>
      <c r="L17" s="242"/>
      <c r="M17" s="201"/>
    </row>
    <row r="18" spans="1:13" ht="17.399999999999999" x14ac:dyDescent="0.3">
      <c r="A18" s="73"/>
      <c r="B18" s="159">
        <v>1</v>
      </c>
      <c r="C18" s="168" t="s">
        <v>20</v>
      </c>
      <c r="D18" s="46">
        <v>90.2</v>
      </c>
      <c r="E18" s="43">
        <f t="shared" ref="E18:E23" si="3">G6*D18/100</f>
        <v>15.252723449333565</v>
      </c>
      <c r="F18" s="6">
        <f t="shared" ref="F18:F23" si="4">(E18*$G$26)*1000</f>
        <v>578581.5586035701</v>
      </c>
      <c r="G18" s="28">
        <v>0</v>
      </c>
      <c r="H18" s="29">
        <f t="shared" ref="H18:H23" si="5">G18*F18</f>
        <v>0</v>
      </c>
      <c r="I18" s="30">
        <f t="shared" ref="I18:I23" si="6">H18/42</f>
        <v>0</v>
      </c>
      <c r="J18" s="75"/>
      <c r="K18" s="52">
        <f t="shared" ref="K18:K23" si="7">(H6*D18)/100</f>
        <v>911.02</v>
      </c>
      <c r="L18" s="242"/>
      <c r="M18" s="183"/>
    </row>
    <row r="19" spans="1:13" ht="17.399999999999999" x14ac:dyDescent="0.3">
      <c r="A19" s="73"/>
      <c r="B19" s="159">
        <v>2</v>
      </c>
      <c r="C19" s="168" t="s">
        <v>15</v>
      </c>
      <c r="D19" s="47">
        <v>4.2808510638297861</v>
      </c>
      <c r="E19" s="43">
        <f t="shared" si="3"/>
        <v>1.141952854658427</v>
      </c>
      <c r="F19" s="6">
        <f t="shared" si="4"/>
        <v>43317.697635758108</v>
      </c>
      <c r="G19" s="7">
        <v>0</v>
      </c>
      <c r="H19" s="22">
        <f t="shared" si="5"/>
        <v>0</v>
      </c>
      <c r="I19" s="6">
        <f t="shared" si="6"/>
        <v>0</v>
      </c>
      <c r="J19" s="8">
        <f>I19/$I$25</f>
        <v>0</v>
      </c>
      <c r="K19" s="53">
        <f t="shared" si="7"/>
        <v>75.251267263426357</v>
      </c>
      <c r="L19" s="242"/>
      <c r="M19" s="183"/>
    </row>
    <row r="20" spans="1:13" ht="17.399999999999999" x14ac:dyDescent="0.3">
      <c r="A20" s="73"/>
      <c r="B20" s="159">
        <v>3</v>
      </c>
      <c r="C20" s="168" t="s">
        <v>16</v>
      </c>
      <c r="D20" s="47">
        <v>2.5056737588652487</v>
      </c>
      <c r="E20" s="43">
        <f t="shared" si="3"/>
        <v>0.68854823041532442</v>
      </c>
      <c r="F20" s="6">
        <f t="shared" si="4"/>
        <v>26118.700024344504</v>
      </c>
      <c r="G20" s="7">
        <v>0.99</v>
      </c>
      <c r="H20" s="22">
        <f t="shared" si="5"/>
        <v>25857.513024101059</v>
      </c>
      <c r="I20" s="9">
        <f t="shared" si="6"/>
        <v>615.6550720024062</v>
      </c>
      <c r="J20" s="8">
        <f>I20/$I$25</f>
        <v>0.47928797835783088</v>
      </c>
      <c r="K20" s="53">
        <f t="shared" si="7"/>
        <v>62.57182043899261</v>
      </c>
      <c r="L20" s="242"/>
      <c r="M20" s="183"/>
    </row>
    <row r="21" spans="1:13" ht="17.399999999999999" x14ac:dyDescent="0.3">
      <c r="A21" s="73"/>
      <c r="B21" s="159">
        <v>4</v>
      </c>
      <c r="C21" s="168" t="s">
        <v>18</v>
      </c>
      <c r="D21" s="47">
        <v>0.56028368794326255</v>
      </c>
      <c r="E21" s="43">
        <f t="shared" si="3"/>
        <v>0.17618398891718054</v>
      </c>
      <c r="F21" s="6">
        <f t="shared" si="4"/>
        <v>6683.1872515954092</v>
      </c>
      <c r="G21" s="7">
        <v>0.99</v>
      </c>
      <c r="H21" s="22">
        <f t="shared" si="5"/>
        <v>6616.3553790794549</v>
      </c>
      <c r="I21" s="9">
        <f>H21/42</f>
        <v>157.5322709304632</v>
      </c>
      <c r="J21" s="8">
        <f>I21/$I$25</f>
        <v>0.12263900208733228</v>
      </c>
      <c r="K21" s="53">
        <f t="shared" si="7"/>
        <v>18.138141659023738</v>
      </c>
      <c r="L21" s="242"/>
      <c r="M21" s="183"/>
    </row>
    <row r="22" spans="1:13" ht="17.399999999999999" x14ac:dyDescent="0.3">
      <c r="A22" s="73"/>
      <c r="B22" s="159">
        <v>5</v>
      </c>
      <c r="C22" s="168" t="s">
        <v>17</v>
      </c>
      <c r="D22" s="47">
        <v>0.73546099290780154</v>
      </c>
      <c r="E22" s="43">
        <f t="shared" si="3"/>
        <v>0.24004879963097139</v>
      </c>
      <c r="F22" s="6">
        <f t="shared" si="4"/>
        <v>9105.7711164016382</v>
      </c>
      <c r="G22" s="7">
        <v>0.99</v>
      </c>
      <c r="H22" s="22">
        <f t="shared" si="5"/>
        <v>9014.7134052376223</v>
      </c>
      <c r="I22" s="9">
        <f>H22/42</f>
        <v>214.63603345803864</v>
      </c>
      <c r="J22" s="8">
        <f>I22/$I$25</f>
        <v>0.16709432803705551</v>
      </c>
      <c r="K22" s="53">
        <f t="shared" si="7"/>
        <v>23.746587454694215</v>
      </c>
      <c r="L22" s="242"/>
      <c r="M22" s="183"/>
    </row>
    <row r="23" spans="1:13" ht="17.399999999999999" x14ac:dyDescent="0.3">
      <c r="A23" s="73"/>
      <c r="B23" s="160">
        <v>6</v>
      </c>
      <c r="C23" s="168" t="s">
        <v>35</v>
      </c>
      <c r="D23" s="47">
        <v>0.91773049645390081</v>
      </c>
      <c r="E23" s="43">
        <f t="shared" si="3"/>
        <v>0.33182549216679513</v>
      </c>
      <c r="F23" s="10">
        <f t="shared" si="4"/>
        <v>12587.136394363039</v>
      </c>
      <c r="G23" s="11">
        <v>0.99</v>
      </c>
      <c r="H23" s="21">
        <f t="shared" si="5"/>
        <v>12461.265030419409</v>
      </c>
      <c r="I23" s="12">
        <f t="shared" si="6"/>
        <v>296.69678643855735</v>
      </c>
      <c r="J23" s="13">
        <f>I23/$I$25</f>
        <v>0.23097869151778136</v>
      </c>
      <c r="K23" s="54">
        <f t="shared" si="7"/>
        <v>36.507440648190794</v>
      </c>
      <c r="L23" s="242"/>
      <c r="M23" s="183"/>
    </row>
    <row r="24" spans="1:13" ht="18" thickBot="1" x14ac:dyDescent="0.35">
      <c r="A24" s="73"/>
      <c r="B24" s="160">
        <v>7</v>
      </c>
      <c r="C24" s="159" t="s">
        <v>26</v>
      </c>
      <c r="D24" s="50">
        <v>0.8</v>
      </c>
      <c r="E24" s="149"/>
      <c r="F24" s="150"/>
      <c r="G24" s="151"/>
      <c r="H24" s="152"/>
      <c r="I24" s="198"/>
      <c r="J24" s="153"/>
      <c r="K24" s="154"/>
      <c r="L24" s="242"/>
      <c r="M24" s="183"/>
    </row>
    <row r="25" spans="1:13" ht="18" thickBot="1" x14ac:dyDescent="0.35">
      <c r="A25" s="73"/>
      <c r="B25" s="161">
        <v>8</v>
      </c>
      <c r="C25" s="235" t="s">
        <v>86</v>
      </c>
      <c r="D25" s="48">
        <f>SUM(D18:D24)</f>
        <v>100</v>
      </c>
      <c r="E25" s="71">
        <f>SUM(E18:E23)</f>
        <v>17.831282815122268</v>
      </c>
      <c r="F25" s="58">
        <f>SUM(F18:F23)</f>
        <v>676394.05102603277</v>
      </c>
      <c r="G25" s="49"/>
      <c r="H25" s="196">
        <f>SUM(H19:H23)</f>
        <v>53949.846838837548</v>
      </c>
      <c r="I25" s="81">
        <f>SUM(I19:I23)</f>
        <v>1284.5201628294653</v>
      </c>
      <c r="J25" s="197">
        <f>I25/$I$25</f>
        <v>1</v>
      </c>
      <c r="K25" s="81">
        <f>SUM(K18:K23)</f>
        <v>1127.2352574643276</v>
      </c>
      <c r="L25" s="242"/>
      <c r="M25" s="202"/>
    </row>
    <row r="26" spans="1:13" ht="18" thickBot="1" x14ac:dyDescent="0.35">
      <c r="A26" s="73"/>
      <c r="B26" s="162">
        <v>9</v>
      </c>
      <c r="C26" s="169"/>
      <c r="D26" s="157"/>
      <c r="E26" s="55" t="s">
        <v>12</v>
      </c>
      <c r="F26" s="56"/>
      <c r="G26" s="80">
        <v>37.933</v>
      </c>
      <c r="H26" s="195">
        <f>SUM(F19:F23)/(G26*1000)</f>
        <v>2.5785593657886983</v>
      </c>
      <c r="I26" s="195">
        <f>H25/($G$26*1000)</f>
        <v>1.4222404460189688</v>
      </c>
      <c r="J26" s="155"/>
      <c r="K26" s="156"/>
      <c r="L26" s="291"/>
      <c r="M26" s="203"/>
    </row>
    <row r="27" spans="1:13" x14ac:dyDescent="0.25">
      <c r="A27" s="73"/>
      <c r="B27" s="73"/>
      <c r="C27" s="73"/>
      <c r="D27" s="73"/>
      <c r="E27" s="73"/>
      <c r="F27" s="73"/>
      <c r="G27" s="73"/>
      <c r="H27" s="45"/>
      <c r="I27" s="45"/>
      <c r="J27" s="45"/>
      <c r="K27" s="73"/>
      <c r="L27" s="73"/>
      <c r="M27" s="73"/>
    </row>
    <row r="28" spans="1:13" ht="13.8" thickBot="1" x14ac:dyDescent="0.3">
      <c r="A28" s="73"/>
      <c r="B28" s="73"/>
      <c r="C28" s="73"/>
      <c r="D28" s="73"/>
      <c r="E28" s="73"/>
      <c r="F28" s="73"/>
      <c r="G28" s="73"/>
      <c r="H28" s="45"/>
      <c r="I28" s="45"/>
      <c r="J28" s="45"/>
      <c r="K28" s="73"/>
      <c r="L28" s="73"/>
      <c r="M28" s="73"/>
    </row>
    <row r="29" spans="1:13" ht="17.399999999999999" x14ac:dyDescent="0.3">
      <c r="A29" s="73"/>
      <c r="B29" s="241"/>
      <c r="C29" s="120" t="s">
        <v>60</v>
      </c>
      <c r="D29" s="261" t="s">
        <v>105</v>
      </c>
      <c r="E29" s="261"/>
      <c r="F29" s="261"/>
      <c r="G29" s="261"/>
      <c r="H29" s="261"/>
      <c r="I29" s="261"/>
      <c r="J29" s="261"/>
      <c r="K29" s="261"/>
      <c r="L29" s="262"/>
      <c r="M29" s="73"/>
    </row>
    <row r="30" spans="1:13" ht="18" thickBot="1" x14ac:dyDescent="0.35">
      <c r="A30" s="73"/>
      <c r="B30" s="242"/>
      <c r="C30" s="237"/>
      <c r="D30" s="124" t="s">
        <v>58</v>
      </c>
      <c r="E30" s="124" t="s">
        <v>70</v>
      </c>
      <c r="F30" s="124" t="s">
        <v>71</v>
      </c>
      <c r="G30" s="124" t="s">
        <v>72</v>
      </c>
      <c r="H30" s="124" t="s">
        <v>73</v>
      </c>
      <c r="I30" s="125" t="s">
        <v>74</v>
      </c>
      <c r="J30" s="148" t="s">
        <v>75</v>
      </c>
      <c r="K30" s="164" t="s">
        <v>76</v>
      </c>
      <c r="L30" s="165" t="s">
        <v>77</v>
      </c>
      <c r="M30" s="73"/>
    </row>
    <row r="31" spans="1:13" ht="17.399999999999999" x14ac:dyDescent="0.3">
      <c r="A31" s="73"/>
      <c r="B31" s="242"/>
      <c r="C31" s="238"/>
      <c r="D31" s="128" t="s">
        <v>36</v>
      </c>
      <c r="E31" s="126" t="s">
        <v>37</v>
      </c>
      <c r="F31" s="126" t="s">
        <v>63</v>
      </c>
      <c r="G31" s="132" t="s">
        <v>36</v>
      </c>
      <c r="H31" s="132" t="s">
        <v>37</v>
      </c>
      <c r="I31" s="174" t="s">
        <v>67</v>
      </c>
      <c r="J31" s="78"/>
      <c r="K31" s="256" t="s">
        <v>47</v>
      </c>
      <c r="L31" s="269"/>
      <c r="M31" s="73"/>
    </row>
    <row r="32" spans="1:13" ht="18" thickBot="1" x14ac:dyDescent="0.35">
      <c r="A32" s="73"/>
      <c r="B32" s="242"/>
      <c r="C32" s="239" t="s">
        <v>25</v>
      </c>
      <c r="D32" s="142" t="s">
        <v>7</v>
      </c>
      <c r="E32" s="143" t="s">
        <v>38</v>
      </c>
      <c r="F32" s="143" t="s">
        <v>64</v>
      </c>
      <c r="G32" s="144" t="s">
        <v>1</v>
      </c>
      <c r="H32" s="144" t="s">
        <v>66</v>
      </c>
      <c r="I32" s="175" t="s">
        <v>68</v>
      </c>
      <c r="J32" s="70"/>
      <c r="K32" s="95" t="s">
        <v>45</v>
      </c>
      <c r="L32" s="136" t="s">
        <v>46</v>
      </c>
      <c r="M32" s="73"/>
    </row>
    <row r="33" spans="1:14" ht="17.399999999999999" x14ac:dyDescent="0.3">
      <c r="A33" s="73"/>
      <c r="B33" s="159">
        <v>1</v>
      </c>
      <c r="C33" s="240" t="s">
        <v>20</v>
      </c>
      <c r="D33" s="140">
        <f t="shared" ref="D33:D38" si="8">F18-H18</f>
        <v>578581.5586035701</v>
      </c>
      <c r="E33" s="134">
        <f t="shared" ref="E33:E38" si="9">(F6*D33)/1000000</f>
        <v>34.215566000000003</v>
      </c>
      <c r="F33" s="208">
        <f t="shared" ref="F33:F38" si="10">(E33/$E$39)*100</f>
        <v>95.421419468454474</v>
      </c>
      <c r="G33" s="141"/>
      <c r="H33" s="180">
        <f t="shared" ref="H33:H38" si="11">(H6*F33)/100</f>
        <v>963.75633663139013</v>
      </c>
      <c r="I33" s="176"/>
      <c r="J33" s="108" t="s">
        <v>78</v>
      </c>
      <c r="K33" s="89">
        <f>G26*1000</f>
        <v>37933</v>
      </c>
      <c r="L33" s="137">
        <f>E39*1000</f>
        <v>35857.322381702135</v>
      </c>
      <c r="M33" s="73"/>
    </row>
    <row r="34" spans="1:14" ht="17.399999999999999" x14ac:dyDescent="0.3">
      <c r="A34" s="73"/>
      <c r="B34" s="159">
        <v>2</v>
      </c>
      <c r="C34" s="240" t="s">
        <v>15</v>
      </c>
      <c r="D34" s="129">
        <f t="shared" si="8"/>
        <v>43317.697635758108</v>
      </c>
      <c r="E34" s="74">
        <f t="shared" si="9"/>
        <v>1.6238552340425527</v>
      </c>
      <c r="F34" s="209">
        <f t="shared" si="10"/>
        <v>4.5286572621250727</v>
      </c>
      <c r="G34" s="211">
        <f>(G7/100)*F34</f>
        <v>1.208057232345463</v>
      </c>
      <c r="H34" s="181">
        <f t="shared" si="11"/>
        <v>79.607347439868988</v>
      </c>
      <c r="I34" s="177">
        <f>(D7*H19)/1000000</f>
        <v>0</v>
      </c>
      <c r="J34" s="108" t="s">
        <v>62</v>
      </c>
      <c r="K34" s="135">
        <f>K25/1000</f>
        <v>1.1272352574643276</v>
      </c>
      <c r="L34" s="138">
        <f>H39/1000</f>
        <v>1.0448549239868805</v>
      </c>
      <c r="M34" s="73"/>
    </row>
    <row r="35" spans="1:14" ht="17.399999999999999" x14ac:dyDescent="0.3">
      <c r="A35" s="73"/>
      <c r="B35" s="159">
        <v>3</v>
      </c>
      <c r="C35" s="240" t="s">
        <v>16</v>
      </c>
      <c r="D35" s="129">
        <f t="shared" si="8"/>
        <v>261.18700024344434</v>
      </c>
      <c r="E35" s="74">
        <f t="shared" si="9"/>
        <v>9.5047722695035253E-3</v>
      </c>
      <c r="F35" s="209">
        <f t="shared" si="10"/>
        <v>2.6507200309953363E-2</v>
      </c>
      <c r="G35" s="211">
        <f>(G8/100)*F35</f>
        <v>7.2840631395479543E-3</v>
      </c>
      <c r="H35" s="181">
        <f t="shared" si="11"/>
        <v>0.66193923780642039</v>
      </c>
      <c r="I35" s="177">
        <f>(D8*H20)/1000000</f>
        <v>2349.8014960651835</v>
      </c>
      <c r="J35" s="108" t="s">
        <v>79</v>
      </c>
      <c r="K35" s="89">
        <f>K33*K34</f>
        <v>42759.415021394343</v>
      </c>
      <c r="L35" s="137">
        <f>L33*L34</f>
        <v>37465.699851506455</v>
      </c>
      <c r="M35" s="73"/>
    </row>
    <row r="36" spans="1:14" ht="17.399999999999999" x14ac:dyDescent="0.3">
      <c r="A36" s="73"/>
      <c r="B36" s="159">
        <v>4</v>
      </c>
      <c r="C36" s="240" t="s">
        <v>18</v>
      </c>
      <c r="D36" s="129">
        <f t="shared" si="8"/>
        <v>66.831872515954274</v>
      </c>
      <c r="E36" s="74">
        <f t="shared" si="9"/>
        <v>2.1253241134751833E-3</v>
      </c>
      <c r="F36" s="209">
        <f t="shared" si="10"/>
        <v>5.9271690475129531E-3</v>
      </c>
      <c r="G36" s="211">
        <f>(G9/100)*F36</f>
        <v>1.8638277505645079E-3</v>
      </c>
      <c r="H36" s="181">
        <f t="shared" si="11"/>
        <v>0.1918810669206161</v>
      </c>
      <c r="I36" s="177">
        <f>(D9*H21)/1000000</f>
        <v>681.15378627622988</v>
      </c>
      <c r="J36" s="108"/>
      <c r="K36" s="90"/>
      <c r="L36" s="139"/>
      <c r="M36" s="73"/>
    </row>
    <row r="37" spans="1:14" ht="17.399999999999999" x14ac:dyDescent="0.3">
      <c r="A37" s="73"/>
      <c r="B37" s="159">
        <v>5</v>
      </c>
      <c r="C37" s="240" t="s">
        <v>17</v>
      </c>
      <c r="D37" s="129">
        <f t="shared" si="8"/>
        <v>91.057711164015927</v>
      </c>
      <c r="E37" s="74">
        <f t="shared" si="9"/>
        <v>2.7898241843971497E-3</v>
      </c>
      <c r="F37" s="209">
        <f t="shared" si="10"/>
        <v>7.7803472180644128E-3</v>
      </c>
      <c r="G37" s="211">
        <f>(G10/100)*F37</f>
        <v>2.539445366129245E-3</v>
      </c>
      <c r="H37" s="181">
        <f t="shared" si="11"/>
        <v>0.25121209339896938</v>
      </c>
      <c r="I37" s="177">
        <f>(D10*H22)/1000000</f>
        <v>891.77150889972654</v>
      </c>
      <c r="J37" s="108" t="s">
        <v>80</v>
      </c>
      <c r="K37" s="270">
        <f>K35</f>
        <v>42759.415021394343</v>
      </c>
      <c r="L37" s="271"/>
      <c r="M37" s="73"/>
    </row>
    <row r="38" spans="1:14" ht="17.399999999999999" x14ac:dyDescent="0.3">
      <c r="A38" s="73"/>
      <c r="B38" s="160">
        <v>6</v>
      </c>
      <c r="C38" s="240" t="s">
        <v>35</v>
      </c>
      <c r="D38" s="130">
        <f t="shared" si="8"/>
        <v>125.87136394363006</v>
      </c>
      <c r="E38" s="123">
        <f t="shared" si="9"/>
        <v>3.4812270921985734E-3</v>
      </c>
      <c r="F38" s="210">
        <f t="shared" si="10"/>
        <v>9.7085528449135719E-3</v>
      </c>
      <c r="G38" s="212">
        <f>(G11/100)*F38</f>
        <v>3.5103391882898038E-3</v>
      </c>
      <c r="H38" s="182">
        <f t="shared" si="11"/>
        <v>0.38620751749564414</v>
      </c>
      <c r="I38" s="177">
        <f>(D11*H23)/1000000</f>
        <v>1370.9883786467433</v>
      </c>
      <c r="J38" s="108" t="s">
        <v>81</v>
      </c>
      <c r="K38" s="272">
        <f>-I39</f>
        <v>-5293.7151698878833</v>
      </c>
      <c r="L38" s="273"/>
      <c r="M38" s="73"/>
    </row>
    <row r="39" spans="1:14" ht="17.399999999999999" x14ac:dyDescent="0.3">
      <c r="A39" s="73"/>
      <c r="B39" s="159">
        <v>7</v>
      </c>
      <c r="C39" s="217" t="s">
        <v>86</v>
      </c>
      <c r="D39" s="129">
        <f>SUM(D33:D38)</f>
        <v>622444.20418719528</v>
      </c>
      <c r="E39" s="74">
        <f>SUM(E33:E38)</f>
        <v>35.857322381702133</v>
      </c>
      <c r="F39" s="74">
        <f>SUM(F33:F38)</f>
        <v>99.999999999999986</v>
      </c>
      <c r="G39" s="133">
        <f>SUM(G34:G38)</f>
        <v>1.2232549077899944</v>
      </c>
      <c r="H39" s="181">
        <f>SUM(H33:H38)</f>
        <v>1044.8549239868805</v>
      </c>
      <c r="I39" s="178">
        <f>SUM(I34:I38)</f>
        <v>5293.7151698878833</v>
      </c>
      <c r="J39" s="108" t="s">
        <v>82</v>
      </c>
      <c r="K39" s="272">
        <f>-L35</f>
        <v>-37465.699851506455</v>
      </c>
      <c r="L39" s="273"/>
      <c r="M39" s="204"/>
    </row>
    <row r="40" spans="1:14" ht="18" thickBot="1" x14ac:dyDescent="0.35">
      <c r="A40" s="73"/>
      <c r="B40" s="162">
        <v>8</v>
      </c>
      <c r="C40" s="57"/>
      <c r="D40" s="131" t="s">
        <v>65</v>
      </c>
      <c r="E40" s="127"/>
      <c r="F40" s="85">
        <f>G26-E39</f>
        <v>2.0756776182978669</v>
      </c>
      <c r="G40" s="127"/>
      <c r="H40" s="173"/>
      <c r="I40" s="179"/>
      <c r="J40" s="147" t="s">
        <v>69</v>
      </c>
      <c r="K40" s="145">
        <f>K37+K38+K39</f>
        <v>0</v>
      </c>
      <c r="L40" s="146"/>
      <c r="M40" s="205"/>
    </row>
    <row r="41" spans="1:14" ht="17.399999999999999" x14ac:dyDescent="0.3">
      <c r="A41" s="73"/>
      <c r="B41" s="203"/>
      <c r="C41" s="203"/>
      <c r="D41" s="203"/>
      <c r="E41" s="213"/>
      <c r="F41" s="213"/>
      <c r="G41" s="213"/>
      <c r="H41" s="213"/>
      <c r="I41" s="214"/>
      <c r="J41" s="215"/>
      <c r="K41" s="216"/>
      <c r="L41" s="216"/>
      <c r="M41" s="205"/>
      <c r="N41" s="73"/>
    </row>
    <row r="42" spans="1:14" ht="13.8" thickBot="1" x14ac:dyDescent="0.3">
      <c r="A42" s="73"/>
      <c r="B42" s="73"/>
      <c r="C42" s="73"/>
      <c r="D42" s="73"/>
      <c r="E42" s="73"/>
      <c r="F42" s="73"/>
      <c r="G42" s="73"/>
      <c r="H42" s="45"/>
      <c r="I42" s="45"/>
      <c r="J42" s="45"/>
      <c r="K42" s="73"/>
      <c r="L42" s="73"/>
      <c r="M42" s="73"/>
      <c r="N42" s="73"/>
    </row>
    <row r="43" spans="1:14" ht="18" thickBot="1" x14ac:dyDescent="0.35">
      <c r="A43" s="73"/>
      <c r="B43" s="116"/>
      <c r="C43" s="120" t="s">
        <v>61</v>
      </c>
      <c r="D43" s="118"/>
      <c r="E43" s="118"/>
      <c r="F43" s="117" t="s">
        <v>106</v>
      </c>
      <c r="G43" s="118"/>
      <c r="H43" s="118"/>
      <c r="I43" s="118"/>
      <c r="J43" s="118"/>
      <c r="K43" s="118"/>
      <c r="L43" s="119"/>
      <c r="M43" s="206"/>
    </row>
    <row r="44" spans="1:14" ht="18" thickBot="1" x14ac:dyDescent="0.35">
      <c r="A44" s="73"/>
      <c r="B44" s="111"/>
      <c r="C44" s="115"/>
      <c r="D44" s="82" t="s">
        <v>50</v>
      </c>
      <c r="E44" s="83" t="s">
        <v>51</v>
      </c>
      <c r="F44" s="83" t="s">
        <v>52</v>
      </c>
      <c r="G44" s="83" t="s">
        <v>53</v>
      </c>
      <c r="H44" s="83" t="s">
        <v>54</v>
      </c>
      <c r="I44" s="83" t="s">
        <v>55</v>
      </c>
      <c r="J44" s="110" t="s">
        <v>56</v>
      </c>
      <c r="K44" s="110" t="s">
        <v>57</v>
      </c>
      <c r="L44" s="84" t="s">
        <v>58</v>
      </c>
      <c r="M44" s="73"/>
    </row>
    <row r="45" spans="1:14" ht="17.399999999999999" x14ac:dyDescent="0.3">
      <c r="A45" s="73"/>
      <c r="B45" s="111"/>
      <c r="C45" s="166"/>
      <c r="D45" s="258" t="s">
        <v>44</v>
      </c>
      <c r="E45" s="259"/>
      <c r="F45" s="259"/>
      <c r="G45" s="260"/>
      <c r="H45" s="104" t="s">
        <v>42</v>
      </c>
      <c r="I45" s="78"/>
      <c r="J45" s="256" t="s">
        <v>47</v>
      </c>
      <c r="K45" s="257"/>
      <c r="L45" s="94" t="s">
        <v>97</v>
      </c>
      <c r="M45" s="73"/>
    </row>
    <row r="46" spans="1:14" ht="18" thickBot="1" x14ac:dyDescent="0.35">
      <c r="A46" s="73"/>
      <c r="B46" s="111"/>
      <c r="C46" s="167" t="s">
        <v>25</v>
      </c>
      <c r="D46" s="170" t="s">
        <v>41</v>
      </c>
      <c r="E46" s="98" t="s">
        <v>39</v>
      </c>
      <c r="F46" s="99" t="s">
        <v>49</v>
      </c>
      <c r="G46" s="98" t="s">
        <v>40</v>
      </c>
      <c r="H46" s="105" t="s">
        <v>43</v>
      </c>
      <c r="I46" s="70"/>
      <c r="J46" s="95" t="s">
        <v>45</v>
      </c>
      <c r="K46" s="96" t="s">
        <v>46</v>
      </c>
      <c r="L46" s="97" t="s">
        <v>48</v>
      </c>
      <c r="M46" s="207"/>
    </row>
    <row r="47" spans="1:14" ht="17.399999999999999" x14ac:dyDescent="0.3">
      <c r="A47" s="73"/>
      <c r="B47" s="112">
        <v>1</v>
      </c>
      <c r="C47" s="168" t="s">
        <v>20</v>
      </c>
      <c r="D47" s="252">
        <v>3.5659999999999998</v>
      </c>
      <c r="E47" s="255">
        <f>(E48-F47)/D7*10000</f>
        <v>2.2478261529356423</v>
      </c>
      <c r="F47" s="248">
        <v>10</v>
      </c>
      <c r="G47" s="93"/>
      <c r="H47" s="106"/>
      <c r="I47" s="108" t="s">
        <v>78</v>
      </c>
      <c r="J47" s="89">
        <f>G26*1000</f>
        <v>37933</v>
      </c>
      <c r="K47" s="76">
        <f>E39*1000</f>
        <v>35857.322381702135</v>
      </c>
      <c r="L47" s="101"/>
      <c r="M47" s="207"/>
    </row>
    <row r="48" spans="1:14" ht="17.399999999999999" x14ac:dyDescent="0.3">
      <c r="A48" s="73"/>
      <c r="B48" s="112">
        <v>2</v>
      </c>
      <c r="C48" s="168" t="s">
        <v>15</v>
      </c>
      <c r="D48" s="171">
        <f>(E48/D7)*10000</f>
        <v>3.7653459186305902</v>
      </c>
      <c r="E48" s="249">
        <v>24.8125</v>
      </c>
      <c r="F48" s="100">
        <f>E48-$F$47</f>
        <v>14.8125</v>
      </c>
      <c r="G48" s="86">
        <f>F48/100</f>
        <v>0.14812500000000001</v>
      </c>
      <c r="H48" s="107">
        <f>H19*G48</f>
        <v>0</v>
      </c>
      <c r="I48" s="108" t="s">
        <v>62</v>
      </c>
      <c r="J48" s="113">
        <f>K25/1000</f>
        <v>1.1272352574643276</v>
      </c>
      <c r="K48" s="114">
        <f>H39/1000</f>
        <v>1.0448549239868805</v>
      </c>
      <c r="L48" s="102"/>
      <c r="M48" s="207"/>
    </row>
    <row r="49" spans="1:13" ht="17.399999999999999" x14ac:dyDescent="0.3">
      <c r="A49" s="73"/>
      <c r="B49" s="112">
        <v>3</v>
      </c>
      <c r="C49" s="168" t="s">
        <v>16</v>
      </c>
      <c r="D49" s="171">
        <f>(E49/D8)*10000</f>
        <v>9.0508940852819819</v>
      </c>
      <c r="E49" s="250">
        <v>82.25</v>
      </c>
      <c r="F49" s="100">
        <f t="shared" ref="F49:F52" si="12">E49-$F$47</f>
        <v>72.25</v>
      </c>
      <c r="G49" s="86">
        <f t="shared" ref="G49:G52" si="13">F49/100</f>
        <v>0.72250000000000003</v>
      </c>
      <c r="H49" s="107">
        <f>H20*G49</f>
        <v>18682.053159913015</v>
      </c>
      <c r="I49" s="108" t="s">
        <v>98</v>
      </c>
      <c r="J49" s="89">
        <f>J47*J48</f>
        <v>42759.415021394343</v>
      </c>
      <c r="K49" s="76">
        <f>K47*K48</f>
        <v>37465.699851506455</v>
      </c>
      <c r="L49" s="102"/>
      <c r="M49" s="207"/>
    </row>
    <row r="50" spans="1:13" ht="17.399999999999999" x14ac:dyDescent="0.3">
      <c r="A50" s="73"/>
      <c r="B50" s="112">
        <v>4</v>
      </c>
      <c r="C50" s="168" t="s">
        <v>18</v>
      </c>
      <c r="D50" s="171">
        <f>(E50/D9)*10000</f>
        <v>15.905779504613889</v>
      </c>
      <c r="E50" s="250">
        <v>163.75</v>
      </c>
      <c r="F50" s="100">
        <f t="shared" si="12"/>
        <v>153.75</v>
      </c>
      <c r="G50" s="86">
        <f t="shared" si="13"/>
        <v>1.5375000000000001</v>
      </c>
      <c r="H50" s="107">
        <f>H21*G50</f>
        <v>10172.646395334663</v>
      </c>
      <c r="I50" s="108" t="s">
        <v>99</v>
      </c>
      <c r="J50" s="90">
        <f>D47</f>
        <v>3.5659999999999998</v>
      </c>
      <c r="K50" s="88">
        <f>J50</f>
        <v>3.5659999999999998</v>
      </c>
      <c r="L50" s="102"/>
      <c r="M50" s="207"/>
    </row>
    <row r="51" spans="1:13" ht="17.399999999999999" x14ac:dyDescent="0.3">
      <c r="A51" s="73"/>
      <c r="B51" s="112">
        <v>5</v>
      </c>
      <c r="C51" s="168" t="s">
        <v>17</v>
      </c>
      <c r="D51" s="171">
        <f>(E51/D10)*10000</f>
        <v>17.873569608992764</v>
      </c>
      <c r="E51" s="250">
        <v>176.8125</v>
      </c>
      <c r="F51" s="100">
        <f t="shared" si="12"/>
        <v>166.8125</v>
      </c>
      <c r="G51" s="86">
        <f t="shared" si="13"/>
        <v>1.6681250000000001</v>
      </c>
      <c r="H51" s="107">
        <f>H22*G51</f>
        <v>15037.668799112009</v>
      </c>
      <c r="I51" s="109" t="s">
        <v>83</v>
      </c>
      <c r="J51" s="91">
        <f>J49*J50</f>
        <v>152480.07396629223</v>
      </c>
      <c r="K51" s="87">
        <f>K49*K50</f>
        <v>133602.68567047201</v>
      </c>
      <c r="L51" s="102"/>
      <c r="M51" s="207"/>
    </row>
    <row r="52" spans="1:13" ht="18" thickBot="1" x14ac:dyDescent="0.35">
      <c r="A52" s="73"/>
      <c r="B52" s="112">
        <v>6</v>
      </c>
      <c r="C52" s="168" t="s">
        <v>35</v>
      </c>
      <c r="D52" s="171">
        <f>(E52/D11)*10000</f>
        <v>19.496455189965459</v>
      </c>
      <c r="E52" s="251">
        <v>214.5</v>
      </c>
      <c r="F52" s="100">
        <f t="shared" si="12"/>
        <v>204.5</v>
      </c>
      <c r="G52" s="86">
        <f t="shared" si="13"/>
        <v>2.0449999999999999</v>
      </c>
      <c r="H52" s="107">
        <f>H23*G52</f>
        <v>25483.286987207688</v>
      </c>
      <c r="I52" s="108"/>
      <c r="J52" s="92"/>
      <c r="K52" s="77"/>
      <c r="L52" s="103"/>
      <c r="M52" s="207"/>
    </row>
    <row r="53" spans="1:13" ht="18" thickBot="1" x14ac:dyDescent="0.35">
      <c r="A53" s="73"/>
      <c r="B53" s="281">
        <v>7</v>
      </c>
      <c r="C53" s="282" t="s">
        <v>86</v>
      </c>
      <c r="D53" s="283"/>
      <c r="E53" s="284"/>
      <c r="F53" s="285"/>
      <c r="G53" s="283"/>
      <c r="H53" s="286">
        <f>SUM(H48:H52)</f>
        <v>69375.65534156737</v>
      </c>
      <c r="I53" s="287"/>
      <c r="J53" s="288">
        <f>-J51</f>
        <v>-152480.07396629223</v>
      </c>
      <c r="K53" s="289">
        <f>K51</f>
        <v>133602.68567047201</v>
      </c>
      <c r="L53" s="122">
        <f>H53+J53+K53</f>
        <v>50498.267045747154</v>
      </c>
      <c r="M53" s="73"/>
    </row>
    <row r="54" spans="1:13" ht="18" thickBot="1" x14ac:dyDescent="0.35">
      <c r="A54" s="73"/>
      <c r="B54" s="274">
        <v>8</v>
      </c>
      <c r="C54" s="275" t="s">
        <v>100</v>
      </c>
      <c r="D54" s="276"/>
      <c r="E54" s="277">
        <f>(E48-F47)/D7 * 10000</f>
        <v>2.2478261529356423</v>
      </c>
      <c r="F54" s="278"/>
      <c r="G54" s="279"/>
      <c r="H54" s="280"/>
      <c r="I54" s="280"/>
      <c r="J54" s="280"/>
      <c r="K54" s="279"/>
      <c r="L54" s="234"/>
      <c r="M54" s="73"/>
    </row>
    <row r="55" spans="1:13" x14ac:dyDescent="0.25">
      <c r="A55" s="73"/>
      <c r="B55" s="73"/>
      <c r="C55" s="73"/>
      <c r="D55" s="73"/>
      <c r="E55" s="73"/>
      <c r="F55" s="73"/>
      <c r="G55" s="73"/>
      <c r="H55" s="45"/>
      <c r="I55" s="45"/>
      <c r="J55" s="45"/>
      <c r="K55" s="73"/>
      <c r="L55" s="73"/>
      <c r="M55" s="73"/>
    </row>
    <row r="56" spans="1:13" x14ac:dyDescent="0.25">
      <c r="A56" s="73"/>
      <c r="B56" s="73"/>
      <c r="C56" s="73"/>
      <c r="D56" s="73"/>
      <c r="E56" s="73"/>
      <c r="F56" s="73"/>
      <c r="G56" s="73"/>
      <c r="H56" s="45"/>
      <c r="I56" s="45"/>
      <c r="J56" s="45"/>
      <c r="K56" s="73"/>
      <c r="L56" s="73"/>
      <c r="M56" s="73"/>
    </row>
    <row r="60" spans="1:13" x14ac:dyDescent="0.25">
      <c r="K60" s="193"/>
    </row>
    <row r="61" spans="1:13" ht="17.399999999999999" x14ac:dyDescent="0.3">
      <c r="K61" s="253"/>
    </row>
    <row r="1000" spans="38:38" s="72" customFormat="1" x14ac:dyDescent="0.25">
      <c r="AL1000" s="72" t="s">
        <v>87</v>
      </c>
    </row>
    <row r="1001" spans="38:38" s="72" customFormat="1" x14ac:dyDescent="0.25">
      <c r="AL1001" s="243">
        <v>41288</v>
      </c>
    </row>
    <row r="1002" spans="38:38" s="72" customFormat="1" x14ac:dyDescent="0.25">
      <c r="AL1002" s="72" t="s">
        <v>88</v>
      </c>
    </row>
    <row r="1003" spans="38:38" s="72" customFormat="1" x14ac:dyDescent="0.25">
      <c r="AL1003" s="72" t="s">
        <v>89</v>
      </c>
    </row>
    <row r="1004" spans="38:38" s="72" customFormat="1" x14ac:dyDescent="0.25">
      <c r="AL1004" s="72" t="s">
        <v>90</v>
      </c>
    </row>
    <row r="1005" spans="38:38" s="72" customFormat="1" x14ac:dyDescent="0.25">
      <c r="AL1005" s="72" t="s">
        <v>91</v>
      </c>
    </row>
    <row r="1006" spans="38:38" s="72" customFormat="1" x14ac:dyDescent="0.25">
      <c r="AL1006" s="72" t="s">
        <v>92</v>
      </c>
    </row>
    <row r="1007" spans="38:38" s="72" customFormat="1" x14ac:dyDescent="0.25">
      <c r="AL1007" s="72" t="s">
        <v>93</v>
      </c>
    </row>
    <row r="1008" spans="38:38" s="72" customFormat="1" x14ac:dyDescent="0.25">
      <c r="AL1008" s="72" t="s">
        <v>94</v>
      </c>
    </row>
  </sheetData>
  <mergeCells count="12">
    <mergeCell ref="K37:L37"/>
    <mergeCell ref="K38:L38"/>
    <mergeCell ref="K39:L39"/>
    <mergeCell ref="D45:G45"/>
    <mergeCell ref="J45:K45"/>
    <mergeCell ref="C54:D54"/>
    <mergeCell ref="D2:H2"/>
    <mergeCell ref="E4:E5"/>
    <mergeCell ref="G4:G5"/>
    <mergeCell ref="D14:K14"/>
    <mergeCell ref="D29:L29"/>
    <mergeCell ref="K31:L31"/>
  </mergeCells>
  <conditionalFormatting sqref="E54">
    <cfRule type="cellIs" dxfId="1" priority="1" stopIfTrue="1" operator="lessThan">
      <formula>$D$47</formula>
    </cfRule>
  </conditionalFormatting>
  <hyperlinks>
    <hyperlink ref="J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Hack</vt:lpstr>
      <vt:lpstr>Hack w Rejection</vt:lpstr>
    </vt:vector>
  </TitlesOfParts>
  <Company>XTO Energy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XTO</dc:creator>
  <cp:lastModifiedBy>RBN3</cp:lastModifiedBy>
  <dcterms:created xsi:type="dcterms:W3CDTF">2006-10-18T19:54:46Z</dcterms:created>
  <dcterms:modified xsi:type="dcterms:W3CDTF">2013-01-23T13:34:31Z</dcterms:modified>
</cp:coreProperties>
</file>