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92" windowWidth="14940" windowHeight="7200" activeTab="1"/>
  </bookViews>
  <sheets>
    <sheet name="Process Plant Balance - Sample2" sheetId="2" r:id="rId1"/>
    <sheet name="Ethane Rejection - Sample 2 " sheetId="3" r:id="rId2"/>
    <sheet name="Sample #1" sheetId="4" r:id="rId3"/>
    <sheet name="Sample #3" sheetId="5" r:id="rId4"/>
  </sheets>
  <calcPr calcId="145621"/>
</workbook>
</file>

<file path=xl/calcChain.xml><?xml version="1.0" encoding="utf-8"?>
<calcChain xmlns="http://schemas.openxmlformats.org/spreadsheetml/2006/main">
  <c r="E54" i="2" l="1"/>
  <c r="E54" i="4"/>
  <c r="E54" i="3"/>
  <c r="E54" i="5"/>
  <c r="F52" i="5"/>
  <c r="G52" i="5"/>
  <c r="D52" i="5"/>
  <c r="F51" i="5"/>
  <c r="G51" i="5"/>
  <c r="D51" i="5"/>
  <c r="J50" i="5"/>
  <c r="K50" i="5"/>
  <c r="F50" i="5"/>
  <c r="G50" i="5"/>
  <c r="D50" i="5"/>
  <c r="G49" i="5"/>
  <c r="F49" i="5"/>
  <c r="D49" i="5"/>
  <c r="F48" i="5"/>
  <c r="G48" i="5"/>
  <c r="D48" i="5"/>
  <c r="J47" i="5"/>
  <c r="K33" i="5"/>
  <c r="D25" i="5"/>
  <c r="K18" i="5"/>
  <c r="G11" i="5"/>
  <c r="E23" i="5"/>
  <c r="F23" i="5"/>
  <c r="F11" i="5"/>
  <c r="G10" i="5"/>
  <c r="F10" i="5"/>
  <c r="G9" i="5"/>
  <c r="F9" i="5"/>
  <c r="H9" i="5"/>
  <c r="G8" i="5"/>
  <c r="F8" i="5"/>
  <c r="H8" i="5"/>
  <c r="K20" i="5"/>
  <c r="H7" i="5"/>
  <c r="K19" i="5"/>
  <c r="G7" i="5"/>
  <c r="F7" i="5"/>
  <c r="G6" i="5"/>
  <c r="E18" i="5"/>
  <c r="F6" i="5"/>
  <c r="F52" i="4"/>
  <c r="G52" i="4"/>
  <c r="D52" i="4"/>
  <c r="G51" i="4"/>
  <c r="F51" i="4"/>
  <c r="D51" i="4"/>
  <c r="J50" i="4"/>
  <c r="K50" i="4"/>
  <c r="F50" i="4"/>
  <c r="G50" i="4"/>
  <c r="D50" i="4"/>
  <c r="G49" i="4"/>
  <c r="F49" i="4"/>
  <c r="D49" i="4"/>
  <c r="F48" i="4"/>
  <c r="G48" i="4"/>
  <c r="D48" i="4"/>
  <c r="J47" i="4"/>
  <c r="K33" i="4"/>
  <c r="D25" i="4"/>
  <c r="E23" i="4"/>
  <c r="F23" i="4"/>
  <c r="E21" i="4"/>
  <c r="F21" i="4"/>
  <c r="E19" i="4"/>
  <c r="F19" i="4"/>
  <c r="K18" i="4"/>
  <c r="G11" i="4"/>
  <c r="F11" i="4"/>
  <c r="G10" i="4"/>
  <c r="F10" i="4"/>
  <c r="H10" i="4"/>
  <c r="H9" i="4"/>
  <c r="G9" i="4"/>
  <c r="F9" i="4"/>
  <c r="H8" i="4"/>
  <c r="K20" i="4"/>
  <c r="G8" i="4"/>
  <c r="E20" i="4"/>
  <c r="F20" i="4"/>
  <c r="F8" i="4"/>
  <c r="G7" i="4"/>
  <c r="F7" i="4"/>
  <c r="G6" i="4"/>
  <c r="E18" i="4"/>
  <c r="F6" i="4"/>
  <c r="G52" i="3"/>
  <c r="F52" i="3"/>
  <c r="D52" i="3"/>
  <c r="G51" i="3"/>
  <c r="F51" i="3"/>
  <c r="D51" i="3"/>
  <c r="J50" i="3"/>
  <c r="K50" i="3"/>
  <c r="G50" i="3"/>
  <c r="F50" i="3"/>
  <c r="D50" i="3"/>
  <c r="G49" i="3"/>
  <c r="F49" i="3"/>
  <c r="D49" i="3"/>
  <c r="G48" i="3"/>
  <c r="F48" i="3"/>
  <c r="D48" i="3"/>
  <c r="J47" i="3"/>
  <c r="K33" i="3"/>
  <c r="D25" i="3"/>
  <c r="E20" i="3"/>
  <c r="F20" i="3"/>
  <c r="K18" i="3"/>
  <c r="H11" i="3"/>
  <c r="G11" i="3"/>
  <c r="F11" i="3"/>
  <c r="G10" i="3"/>
  <c r="F10" i="3"/>
  <c r="H10" i="3"/>
  <c r="G9" i="3"/>
  <c r="F9" i="3"/>
  <c r="H9" i="3"/>
  <c r="H8" i="3"/>
  <c r="K20" i="3"/>
  <c r="G8" i="3"/>
  <c r="F8" i="3"/>
  <c r="H7" i="3"/>
  <c r="G7" i="3"/>
  <c r="F7" i="3"/>
  <c r="G6" i="3"/>
  <c r="E18" i="3"/>
  <c r="F6" i="3"/>
  <c r="K21" i="5"/>
  <c r="F18" i="5"/>
  <c r="H23" i="5"/>
  <c r="D38" i="5"/>
  <c r="E38" i="5"/>
  <c r="H11" i="5"/>
  <c r="E20" i="5"/>
  <c r="F20" i="5"/>
  <c r="E22" i="5"/>
  <c r="F22" i="5"/>
  <c r="H10" i="5"/>
  <c r="E19" i="5"/>
  <c r="F19" i="5"/>
  <c r="E21" i="5"/>
  <c r="F21" i="5"/>
  <c r="H19" i="4"/>
  <c r="D34" i="4"/>
  <c r="E34" i="4"/>
  <c r="H21" i="4"/>
  <c r="D36" i="4"/>
  <c r="E36" i="4"/>
  <c r="F18" i="4"/>
  <c r="H20" i="4"/>
  <c r="D35" i="4"/>
  <c r="E35" i="4"/>
  <c r="D38" i="4"/>
  <c r="E38" i="4"/>
  <c r="H23" i="4"/>
  <c r="K22" i="4"/>
  <c r="K21" i="4"/>
  <c r="E22" i="4"/>
  <c r="F22" i="4"/>
  <c r="H7" i="4"/>
  <c r="H11" i="4"/>
  <c r="K22" i="3"/>
  <c r="K25" i="3"/>
  <c r="H20" i="3"/>
  <c r="K21" i="3"/>
  <c r="F18" i="3"/>
  <c r="E19" i="3"/>
  <c r="F19" i="3"/>
  <c r="E21" i="3"/>
  <c r="F21" i="3"/>
  <c r="E23" i="3"/>
  <c r="F23" i="3"/>
  <c r="E22" i="3"/>
  <c r="F22" i="3"/>
  <c r="K19" i="3"/>
  <c r="K23" i="3"/>
  <c r="J47" i="2"/>
  <c r="D48" i="2"/>
  <c r="F48" i="2"/>
  <c r="G48" i="2"/>
  <c r="D49" i="2"/>
  <c r="F49" i="2"/>
  <c r="G49" i="2"/>
  <c r="D50" i="2"/>
  <c r="F50" i="2"/>
  <c r="G50" i="2"/>
  <c r="J50" i="2"/>
  <c r="K50" i="2"/>
  <c r="D51" i="2"/>
  <c r="F51" i="2"/>
  <c r="G51" i="2"/>
  <c r="D52" i="2"/>
  <c r="F52" i="2"/>
  <c r="G52" i="2"/>
  <c r="K23" i="5"/>
  <c r="F25" i="5"/>
  <c r="H18" i="5"/>
  <c r="I18" i="5"/>
  <c r="H21" i="5"/>
  <c r="H19" i="5"/>
  <c r="H26" i="5"/>
  <c r="H22" i="5"/>
  <c r="D37" i="5"/>
  <c r="E37" i="5"/>
  <c r="K22" i="5"/>
  <c r="H20" i="5"/>
  <c r="D35" i="5"/>
  <c r="E35" i="5"/>
  <c r="H52" i="5"/>
  <c r="I38" i="5"/>
  <c r="I23" i="5"/>
  <c r="E25" i="5"/>
  <c r="E25" i="4"/>
  <c r="K23" i="4"/>
  <c r="H22" i="4"/>
  <c r="H52" i="4"/>
  <c r="I38" i="4"/>
  <c r="I23" i="4"/>
  <c r="H26" i="4"/>
  <c r="K19" i="4"/>
  <c r="I35" i="4"/>
  <c r="H49" i="4"/>
  <c r="I20" i="4"/>
  <c r="H18" i="4"/>
  <c r="I18" i="4"/>
  <c r="F25" i="4"/>
  <c r="H50" i="4"/>
  <c r="I21" i="4"/>
  <c r="I36" i="4"/>
  <c r="H48" i="4"/>
  <c r="I19" i="4"/>
  <c r="I34" i="4"/>
  <c r="H25" i="4"/>
  <c r="I26" i="4"/>
  <c r="K34" i="3"/>
  <c r="K35" i="3"/>
  <c r="K37" i="3"/>
  <c r="J48" i="3"/>
  <c r="J49" i="3"/>
  <c r="J51" i="3"/>
  <c r="J53" i="3"/>
  <c r="H22" i="3"/>
  <c r="H18" i="3"/>
  <c r="I18" i="3"/>
  <c r="F25" i="3"/>
  <c r="H49" i="3"/>
  <c r="I20" i="3"/>
  <c r="I35" i="3"/>
  <c r="H23" i="3"/>
  <c r="D38" i="3"/>
  <c r="E38" i="3"/>
  <c r="H19" i="3"/>
  <c r="D34" i="3"/>
  <c r="E34" i="3"/>
  <c r="H26" i="3"/>
  <c r="E25" i="3"/>
  <c r="D35" i="3"/>
  <c r="E35" i="3"/>
  <c r="H21" i="3"/>
  <c r="K33" i="2"/>
  <c r="K25" i="5"/>
  <c r="J48" i="5"/>
  <c r="J49" i="5"/>
  <c r="J51" i="5"/>
  <c r="J53" i="5"/>
  <c r="H25" i="5"/>
  <c r="I26" i="5"/>
  <c r="H48" i="5"/>
  <c r="I19" i="5"/>
  <c r="I34" i="5"/>
  <c r="H49" i="5"/>
  <c r="I20" i="5"/>
  <c r="I35" i="5"/>
  <c r="I37" i="5"/>
  <c r="H51" i="5"/>
  <c r="I22" i="5"/>
  <c r="H50" i="5"/>
  <c r="I21" i="5"/>
  <c r="I36" i="5"/>
  <c r="D36" i="5"/>
  <c r="E36" i="5"/>
  <c r="D34" i="5"/>
  <c r="E34" i="5"/>
  <c r="D33" i="5"/>
  <c r="I22" i="4"/>
  <c r="I25" i="4"/>
  <c r="J25" i="4"/>
  <c r="I37" i="4"/>
  <c r="I39" i="4"/>
  <c r="K38" i="4"/>
  <c r="H51" i="4"/>
  <c r="H53" i="4"/>
  <c r="D37" i="4"/>
  <c r="E37" i="4"/>
  <c r="D33" i="4"/>
  <c r="K25" i="4"/>
  <c r="H50" i="3"/>
  <c r="I21" i="3"/>
  <c r="I36" i="3"/>
  <c r="H51" i="3"/>
  <c r="I22" i="3"/>
  <c r="I37" i="3"/>
  <c r="H48" i="3"/>
  <c r="I19" i="3"/>
  <c r="I34" i="3"/>
  <c r="I39" i="3"/>
  <c r="K38" i="3"/>
  <c r="H25" i="3"/>
  <c r="I26" i="3"/>
  <c r="D33" i="3"/>
  <c r="D36" i="3"/>
  <c r="E36" i="3"/>
  <c r="H52" i="3"/>
  <c r="I38" i="3"/>
  <c r="I23" i="3"/>
  <c r="D37" i="3"/>
  <c r="E37" i="3"/>
  <c r="G6" i="2"/>
  <c r="E18" i="2"/>
  <c r="F18" i="2"/>
  <c r="K34" i="5"/>
  <c r="K35" i="5"/>
  <c r="K37" i="5"/>
  <c r="I25" i="5"/>
  <c r="H53" i="5"/>
  <c r="D39" i="5"/>
  <c r="E33" i="5"/>
  <c r="I39" i="5"/>
  <c r="K38" i="5"/>
  <c r="J20" i="4"/>
  <c r="K34" i="4"/>
  <c r="K35" i="4"/>
  <c r="K37" i="4"/>
  <c r="J48" i="4"/>
  <c r="J49" i="4"/>
  <c r="J51" i="4"/>
  <c r="J53" i="4"/>
  <c r="E33" i="4"/>
  <c r="D39" i="4"/>
  <c r="J19" i="4"/>
  <c r="J21" i="4"/>
  <c r="J22" i="4"/>
  <c r="J23" i="4"/>
  <c r="D39" i="3"/>
  <c r="E33" i="3"/>
  <c r="I25" i="3"/>
  <c r="J23" i="3"/>
  <c r="J22" i="3"/>
  <c r="H53" i="3"/>
  <c r="F6" i="2"/>
  <c r="J21" i="5"/>
  <c r="J22" i="5"/>
  <c r="J25" i="5"/>
  <c r="J23" i="5"/>
  <c r="J19" i="5"/>
  <c r="J20" i="5"/>
  <c r="E39" i="5"/>
  <c r="E39" i="4"/>
  <c r="J19" i="3"/>
  <c r="J25" i="3"/>
  <c r="J20" i="3"/>
  <c r="E39" i="3"/>
  <c r="J21" i="3"/>
  <c r="D25" i="2"/>
  <c r="F40" i="5"/>
  <c r="L33" i="5"/>
  <c r="K47" i="5"/>
  <c r="F38" i="5"/>
  <c r="F35" i="5"/>
  <c r="F37" i="5"/>
  <c r="F36" i="5"/>
  <c r="F34" i="5"/>
  <c r="F33" i="5"/>
  <c r="K47" i="4"/>
  <c r="F40" i="4"/>
  <c r="L33" i="4"/>
  <c r="F38" i="4"/>
  <c r="F35" i="4"/>
  <c r="F36" i="4"/>
  <c r="F34" i="4"/>
  <c r="F37" i="4"/>
  <c r="F33" i="4"/>
  <c r="K47" i="3"/>
  <c r="F40" i="3"/>
  <c r="L33" i="3"/>
  <c r="F34" i="3"/>
  <c r="F35" i="3"/>
  <c r="F38" i="3"/>
  <c r="F36" i="3"/>
  <c r="F37" i="3"/>
  <c r="F33" i="3"/>
  <c r="G11" i="2"/>
  <c r="E23" i="2"/>
  <c r="G10" i="2"/>
  <c r="E22" i="2"/>
  <c r="G9" i="2"/>
  <c r="E21" i="2"/>
  <c r="G8" i="2"/>
  <c r="E20" i="2"/>
  <c r="G7" i="2"/>
  <c r="E19" i="2"/>
  <c r="G35" i="5"/>
  <c r="H35" i="5"/>
  <c r="H34" i="5"/>
  <c r="G34" i="5"/>
  <c r="G38" i="5"/>
  <c r="H38" i="5"/>
  <c r="F39" i="5"/>
  <c r="H33" i="5"/>
  <c r="H36" i="5"/>
  <c r="G36" i="5"/>
  <c r="G37" i="5"/>
  <c r="H37" i="5"/>
  <c r="F39" i="4"/>
  <c r="H33" i="4"/>
  <c r="H37" i="4"/>
  <c r="G37" i="4"/>
  <c r="G38" i="4"/>
  <c r="H38" i="4"/>
  <c r="H35" i="4"/>
  <c r="G35" i="4"/>
  <c r="G34" i="4"/>
  <c r="H34" i="4"/>
  <c r="G36" i="4"/>
  <c r="H36" i="4"/>
  <c r="H37" i="3"/>
  <c r="G37" i="3"/>
  <c r="H34" i="3"/>
  <c r="G34" i="3"/>
  <c r="G35" i="3"/>
  <c r="H35" i="3"/>
  <c r="H36" i="3"/>
  <c r="G36" i="3"/>
  <c r="F39" i="3"/>
  <c r="H33" i="3"/>
  <c r="H38" i="3"/>
  <c r="G38" i="3"/>
  <c r="F11" i="2"/>
  <c r="H11" i="2"/>
  <c r="F10" i="2"/>
  <c r="H10" i="2"/>
  <c r="F9" i="2"/>
  <c r="H9" i="2"/>
  <c r="F8" i="2"/>
  <c r="F7" i="2"/>
  <c r="H7" i="2"/>
  <c r="G39" i="5"/>
  <c r="H39" i="5"/>
  <c r="G39" i="4"/>
  <c r="H39" i="4"/>
  <c r="G39" i="3"/>
  <c r="H39" i="3"/>
  <c r="H8" i="2"/>
  <c r="L34" i="5"/>
  <c r="L35" i="5"/>
  <c r="K39" i="5"/>
  <c r="K40" i="5"/>
  <c r="K48" i="5"/>
  <c r="K49" i="5"/>
  <c r="K48" i="4"/>
  <c r="K49" i="4"/>
  <c r="L34" i="4"/>
  <c r="L35" i="4"/>
  <c r="K39" i="4"/>
  <c r="K40" i="4"/>
  <c r="K48" i="3"/>
  <c r="K49" i="3"/>
  <c r="K51" i="3"/>
  <c r="K53" i="3"/>
  <c r="L53" i="3"/>
  <c r="L34" i="3"/>
  <c r="L35" i="3"/>
  <c r="K39" i="3"/>
  <c r="K40" i="3"/>
  <c r="K23" i="2"/>
  <c r="K21" i="2"/>
  <c r="K22" i="2"/>
  <c r="K20" i="2"/>
  <c r="K18" i="2"/>
  <c r="K51" i="5"/>
  <c r="K53" i="5"/>
  <c r="L53" i="5"/>
  <c r="K51" i="4"/>
  <c r="K53" i="4"/>
  <c r="L53" i="4"/>
  <c r="F23" i="2"/>
  <c r="F22" i="2"/>
  <c r="F20" i="2"/>
  <c r="F21" i="2"/>
  <c r="H22" i="2"/>
  <c r="H51" i="2"/>
  <c r="H23" i="2"/>
  <c r="H52" i="2"/>
  <c r="H21" i="2"/>
  <c r="H50" i="2"/>
  <c r="H20" i="2"/>
  <c r="H49" i="2"/>
  <c r="H18" i="2"/>
  <c r="I35" i="2"/>
  <c r="I36" i="2"/>
  <c r="I38" i="2"/>
  <c r="I37" i="2"/>
  <c r="I20" i="2"/>
  <c r="I21" i="2"/>
  <c r="I23" i="2"/>
  <c r="D35" i="2"/>
  <c r="E35" i="2"/>
  <c r="I22" i="2"/>
  <c r="D38" i="2"/>
  <c r="E38" i="2"/>
  <c r="D36" i="2"/>
  <c r="E36" i="2"/>
  <c r="D37" i="2"/>
  <c r="E37" i="2"/>
  <c r="I18" i="2"/>
  <c r="D33" i="2"/>
  <c r="K19" i="2"/>
  <c r="K25" i="2"/>
  <c r="E25" i="2"/>
  <c r="K34" i="2"/>
  <c r="J48" i="2"/>
  <c r="J49" i="2"/>
  <c r="J51" i="2"/>
  <c r="J53" i="2"/>
  <c r="K35" i="2"/>
  <c r="K37" i="2"/>
  <c r="E33" i="2"/>
  <c r="F19" i="2"/>
  <c r="H26" i="2"/>
  <c r="H19" i="2"/>
  <c r="H48" i="2"/>
  <c r="H53" i="2"/>
  <c r="F25" i="2"/>
  <c r="I34" i="2"/>
  <c r="I39" i="2"/>
  <c r="K38" i="2"/>
  <c r="H25" i="2"/>
  <c r="I26" i="2"/>
  <c r="D34" i="2"/>
  <c r="D39" i="2"/>
  <c r="I19" i="2"/>
  <c r="I25" i="2"/>
  <c r="E34" i="2"/>
  <c r="E39" i="2"/>
  <c r="J25" i="2"/>
  <c r="J22" i="2"/>
  <c r="J20" i="2"/>
  <c r="J21" i="2"/>
  <c r="J23" i="2"/>
  <c r="J19" i="2"/>
  <c r="L33" i="2"/>
  <c r="K47" i="2"/>
  <c r="F40" i="2"/>
  <c r="F37" i="2"/>
  <c r="G37" i="2"/>
  <c r="F38" i="2"/>
  <c r="G38" i="2"/>
  <c r="F36" i="2"/>
  <c r="G36" i="2"/>
  <c r="F35" i="2"/>
  <c r="G35" i="2"/>
  <c r="F33" i="2"/>
  <c r="F34" i="2"/>
  <c r="G34" i="2"/>
  <c r="H36" i="2"/>
  <c r="H34" i="2"/>
  <c r="H38" i="2"/>
  <c r="H33" i="2"/>
  <c r="F39" i="2"/>
  <c r="H37" i="2"/>
  <c r="H35" i="2"/>
  <c r="G39" i="2"/>
  <c r="H39" i="2"/>
  <c r="L34" i="2"/>
  <c r="L35" i="2"/>
  <c r="K39" i="2"/>
  <c r="K40" i="2"/>
  <c r="K48" i="2"/>
  <c r="K49" i="2"/>
  <c r="K51" i="2"/>
  <c r="K53" i="2"/>
  <c r="L53" i="2"/>
</calcChain>
</file>

<file path=xl/sharedStrings.xml><?xml version="1.0" encoding="utf-8"?>
<sst xmlns="http://schemas.openxmlformats.org/spreadsheetml/2006/main" count="581" uniqueCount="109">
  <si>
    <t>Available</t>
  </si>
  <si>
    <t>GPM</t>
  </si>
  <si>
    <t>Gal/day</t>
  </si>
  <si>
    <t>Mol%</t>
  </si>
  <si>
    <t>gal/ lb-mol</t>
  </si>
  <si>
    <t>estimated</t>
  </si>
  <si>
    <t>% recovery</t>
  </si>
  <si>
    <t>Gal / Day</t>
  </si>
  <si>
    <t xml:space="preserve">Gross </t>
  </si>
  <si>
    <t>BTU /ft^3</t>
  </si>
  <si>
    <t>Feed Gas</t>
  </si>
  <si>
    <t>BTU/ Gal</t>
  </si>
  <si>
    <t>Inlet Volume (MMCFD)</t>
  </si>
  <si>
    <t>Liquids</t>
  </si>
  <si>
    <t>BBL/D</t>
  </si>
  <si>
    <t>Ethane</t>
  </si>
  <si>
    <t>Propane</t>
  </si>
  <si>
    <t>Isobutane</t>
  </si>
  <si>
    <t>Normal Butane</t>
  </si>
  <si>
    <t>Pentanes+</t>
  </si>
  <si>
    <t>Methane</t>
  </si>
  <si>
    <t>%</t>
  </si>
  <si>
    <t>gal liquid</t>
  </si>
  <si>
    <t>ft3 gas/</t>
  </si>
  <si>
    <t>Gallons per MCF (GPM)</t>
  </si>
  <si>
    <t>Compound</t>
  </si>
  <si>
    <t>Inerts (N, CO2)</t>
  </si>
  <si>
    <t>(a)</t>
  </si>
  <si>
    <t>(b)</t>
  </si>
  <si>
    <t>(c)</t>
  </si>
  <si>
    <t>(d)</t>
  </si>
  <si>
    <t xml:space="preserve">(e) </t>
  </si>
  <si>
    <t>(f)</t>
  </si>
  <si>
    <t>Cu. Ft/lb mole</t>
  </si>
  <si>
    <t>BTU</t>
  </si>
  <si>
    <t>Natural Gasoline</t>
  </si>
  <si>
    <t xml:space="preserve">Residue </t>
  </si>
  <si>
    <t>Residue</t>
  </si>
  <si>
    <t>MMCF/D</t>
  </si>
  <si>
    <t>Cnts/gal</t>
  </si>
  <si>
    <t>$/gal</t>
  </si>
  <si>
    <t>$/Mmbtu</t>
  </si>
  <si>
    <t xml:space="preserve">Product </t>
  </si>
  <si>
    <t>Value $/day</t>
  </si>
  <si>
    <t>Product Prices</t>
  </si>
  <si>
    <t>Inlet</t>
  </si>
  <si>
    <t>Outlet</t>
  </si>
  <si>
    <t>Gas Value</t>
  </si>
  <si>
    <t>Per Day</t>
  </si>
  <si>
    <t>Less T&amp;F</t>
  </si>
  <si>
    <t>A</t>
  </si>
  <si>
    <t>B</t>
  </si>
  <si>
    <t>C</t>
  </si>
  <si>
    <t>D</t>
  </si>
  <si>
    <t>E</t>
  </si>
  <si>
    <t>F</t>
  </si>
  <si>
    <t xml:space="preserve">           Table #3 - Residue Gas from Eagle Ford Sample #2</t>
  </si>
  <si>
    <t>G</t>
  </si>
  <si>
    <t>H</t>
  </si>
  <si>
    <t>I</t>
  </si>
  <si>
    <t>Table #2</t>
  </si>
  <si>
    <t>Table #3</t>
  </si>
  <si>
    <t>Table #4</t>
  </si>
  <si>
    <t>% of CF</t>
  </si>
  <si>
    <t>in Residue</t>
  </si>
  <si>
    <t>Srinkage Volume (MMCFD)</t>
  </si>
  <si>
    <t>Gross HV</t>
  </si>
  <si>
    <t>BTU Value</t>
  </si>
  <si>
    <t>of NGLs</t>
  </si>
  <si>
    <t>Balance</t>
  </si>
  <si>
    <t>J</t>
  </si>
  <si>
    <t>K</t>
  </si>
  <si>
    <t>L</t>
  </si>
  <si>
    <t>M</t>
  </si>
  <si>
    <t>N</t>
  </si>
  <si>
    <t>O</t>
  </si>
  <si>
    <t>P</t>
  </si>
  <si>
    <t>Q</t>
  </si>
  <si>
    <t>Liquids Quantities for Eagle Ford Sample #2</t>
  </si>
  <si>
    <t>Voume MCF/d</t>
  </si>
  <si>
    <t>Inlet BTU/d</t>
  </si>
  <si>
    <t>Outlet NGLs/d</t>
  </si>
  <si>
    <t>Outlet BTU/d</t>
  </si>
  <si>
    <t>Value/d</t>
  </si>
  <si>
    <t>Table #1</t>
  </si>
  <si>
    <t>Standard Factors</t>
  </si>
  <si>
    <t>Total</t>
  </si>
  <si>
    <t>This model developed by RBN Energy, LLC</t>
  </si>
  <si>
    <t>E. Russell Braziel</t>
  </si>
  <si>
    <t>RBN Energy, LLC</t>
  </si>
  <si>
    <t>3333 Allen Parkway, Suite 1807</t>
  </si>
  <si>
    <t>Houston, TX, 77019</t>
  </si>
  <si>
    <t xml:space="preserve">888-400-9838 (office)  </t>
  </si>
  <si>
    <t>713-391-8421 (fax)</t>
  </si>
  <si>
    <t>903-881-9260 (direct)</t>
  </si>
  <si>
    <t>Model developed by RBN Energy, LLC</t>
  </si>
  <si>
    <t>www.rbnenergy.com</t>
  </si>
  <si>
    <t>Net Value</t>
  </si>
  <si>
    <t>Volume MMBTU/d</t>
  </si>
  <si>
    <t>Price/MMBTU</t>
  </si>
  <si>
    <t>Natural Gas Processing Value Calculation - Eagle Ford Example - Sample #2</t>
  </si>
  <si>
    <t>Liquids Quantities for Eagle Ford Sample #1</t>
  </si>
  <si>
    <t xml:space="preserve">           Table #3 - Residue Gas from Eagle Ford Sample #1</t>
  </si>
  <si>
    <t>Natural Gas Processing Value Calculation - Eagle Ford Example - Sample #1</t>
  </si>
  <si>
    <t>Liquids Quantities for Eagle Ford Sample #2 (Rejection)</t>
  </si>
  <si>
    <t xml:space="preserve">           Table #3 - Residue Gas from Eagle Ford Sample #2 (Rejection)</t>
  </si>
  <si>
    <t>Natural Gas Processing Value Calculation - Eagle Ford Example - Sample 2 (Rejection)</t>
  </si>
  <si>
    <t>MMBTU/MCF</t>
  </si>
  <si>
    <t>Ethane Rejection Value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</si>
</sst>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0_);_(* \(#,##0.0000\);_(* &quot;-&quot;??_);_(@_)"/>
    <numFmt numFmtId="167" formatCode="_(* #,##0.000_);_(* \(#,##0.000\);_(* &quot;-&quot;??_);_(@_)"/>
    <numFmt numFmtId="168" formatCode="_(* #,##0.0_);_(* \(#,##0.0\);_(* &quot;-&quot;??_);_(@_)"/>
    <numFmt numFmtId="169" formatCode="_(&quot;$&quot;* #,##0_);_(&quot;$&quot;* \(#,##0\);_(&quot;$&quot;* &quot;-&quot;??_);_(@_)"/>
    <numFmt numFmtId="170" formatCode="_(* #,##0.00000_);_(* \(#,##0.00000\);_(* &quot;-&quot;??_);_(@_)"/>
    <numFmt numFmtId="171" formatCode="_(* #,##0.000000_);_(* \(#,##0.000000\);_(* &quot;-&quot;??_);_(@_)"/>
    <numFmt numFmtId="172" formatCode="_(* #,##0.0000000_);_(* \(#,##0.0000000\);_(* &quot;-&quot;??_);_(@_)"/>
    <numFmt numFmtId="173" formatCode="[$-409]mmmm\ d\,\ yyyy;@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4"/>
      <color rgb="FF7030A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DD2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1" applyFont="1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6" fontId="3" fillId="2" borderId="1" xfId="3" applyNumberFormat="1" applyFont="1" applyFill="1" applyBorder="1" applyAlignment="1">
      <alignment horizontal="center"/>
    </xf>
    <xf numFmtId="43" fontId="3" fillId="0" borderId="1" xfId="3" applyFont="1" applyBorder="1"/>
    <xf numFmtId="165" fontId="3" fillId="0" borderId="2" xfId="3" applyNumberFormat="1" applyFont="1" applyBorder="1" applyAlignment="1">
      <alignment horizontal="center"/>
    </xf>
    <xf numFmtId="9" fontId="3" fillId="3" borderId="1" xfId="1" applyNumberFormat="1" applyFont="1" applyFill="1" applyBorder="1" applyAlignment="1">
      <alignment horizontal="center"/>
    </xf>
    <xf numFmtId="9" fontId="3" fillId="0" borderId="1" xfId="10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4" xfId="3" applyNumberFormat="1" applyFont="1" applyBorder="1" applyAlignment="1">
      <alignment horizontal="center"/>
    </xf>
    <xf numFmtId="9" fontId="3" fillId="3" borderId="5" xfId="1" applyNumberFormat="1" applyFont="1" applyFill="1" applyBorder="1" applyAlignment="1">
      <alignment horizontal="center"/>
    </xf>
    <xf numFmtId="165" fontId="3" fillId="0" borderId="6" xfId="3" applyNumberFormat="1" applyFont="1" applyBorder="1" applyAlignment="1">
      <alignment horizontal="center"/>
    </xf>
    <xf numFmtId="9" fontId="3" fillId="0" borderId="5" xfId="10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6" fontId="3" fillId="2" borderId="8" xfId="3" applyNumberFormat="1" applyFont="1" applyFill="1" applyBorder="1" applyAlignment="1">
      <alignment horizontal="center"/>
    </xf>
    <xf numFmtId="43" fontId="3" fillId="0" borderId="8" xfId="3" applyFont="1" applyBorder="1"/>
    <xf numFmtId="165" fontId="3" fillId="0" borderId="9" xfId="3" applyNumberFormat="1" applyFont="1" applyFill="1" applyBorder="1" applyAlignment="1">
      <alignment horizontal="center"/>
    </xf>
    <xf numFmtId="166" fontId="3" fillId="2" borderId="10" xfId="3" applyNumberFormat="1" applyFont="1" applyFill="1" applyBorder="1" applyAlignment="1">
      <alignment horizontal="center"/>
    </xf>
    <xf numFmtId="43" fontId="3" fillId="0" borderId="10" xfId="3" applyFont="1" applyBorder="1"/>
    <xf numFmtId="165" fontId="3" fillId="4" borderId="11" xfId="3" applyNumberFormat="1" applyFont="1" applyFill="1" applyBorder="1" applyAlignment="1">
      <alignment horizontal="center"/>
    </xf>
    <xf numFmtId="165" fontId="3" fillId="0" borderId="5" xfId="3" applyNumberFormat="1" applyFont="1" applyBorder="1" applyAlignment="1">
      <alignment horizontal="right"/>
    </xf>
    <xf numFmtId="165" fontId="3" fillId="0" borderId="1" xfId="3" applyNumberFormat="1" applyFont="1" applyBorder="1" applyAlignment="1">
      <alignment horizontal="right"/>
    </xf>
    <xf numFmtId="38" fontId="4" fillId="0" borderId="12" xfId="1" applyNumberFormat="1" applyFont="1" applyBorder="1"/>
    <xf numFmtId="38" fontId="4" fillId="0" borderId="13" xfId="1" applyNumberFormat="1" applyFont="1" applyBorder="1"/>
    <xf numFmtId="165" fontId="3" fillId="2" borderId="14" xfId="3" applyNumberFormat="1" applyFont="1" applyFill="1" applyBorder="1" applyAlignment="1">
      <alignment horizontal="center"/>
    </xf>
    <xf numFmtId="165" fontId="3" fillId="2" borderId="15" xfId="3" applyNumberFormat="1" applyFont="1" applyFill="1" applyBorder="1" applyAlignment="1">
      <alignment horizontal="center"/>
    </xf>
    <xf numFmtId="165" fontId="3" fillId="2" borderId="16" xfId="3" applyNumberFormat="1" applyFont="1" applyFill="1" applyBorder="1" applyAlignment="1">
      <alignment horizontal="center"/>
    </xf>
    <xf numFmtId="9" fontId="3" fillId="3" borderId="10" xfId="1" applyNumberFormat="1" applyFont="1" applyFill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164" fontId="5" fillId="5" borderId="18" xfId="1" applyNumberFormat="1" applyFont="1" applyFill="1" applyBorder="1" applyAlignment="1">
      <alignment horizontal="center"/>
    </xf>
    <xf numFmtId="164" fontId="5" fillId="5" borderId="17" xfId="1" applyNumberFormat="1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164" fontId="5" fillId="5" borderId="19" xfId="1" applyNumberFormat="1" applyFont="1" applyFill="1" applyBorder="1" applyAlignment="1">
      <alignment horizontal="center"/>
    </xf>
    <xf numFmtId="0" fontId="5" fillId="5" borderId="20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21" xfId="1" applyFont="1" applyFill="1" applyBorder="1" applyAlignment="1">
      <alignment horizontal="center"/>
    </xf>
    <xf numFmtId="164" fontId="5" fillId="5" borderId="20" xfId="1" applyNumberFormat="1" applyFont="1" applyFill="1" applyBorder="1" applyAlignment="1">
      <alignment horizontal="center"/>
    </xf>
    <xf numFmtId="164" fontId="5" fillId="5" borderId="21" xfId="1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164" fontId="5" fillId="5" borderId="22" xfId="1" applyNumberFormat="1" applyFont="1" applyFill="1" applyBorder="1" applyAlignment="1">
      <alignment horizontal="center"/>
    </xf>
    <xf numFmtId="43" fontId="3" fillId="0" borderId="1" xfId="3" applyNumberFormat="1" applyFont="1" applyFill="1" applyBorder="1" applyAlignment="1">
      <alignment horizontal="center"/>
    </xf>
    <xf numFmtId="0" fontId="0" fillId="0" borderId="0" xfId="3" applyNumberFormat="1" applyFont="1" applyAlignment="1">
      <alignment horizontal="center"/>
    </xf>
    <xf numFmtId="0" fontId="0" fillId="6" borderId="0" xfId="0" applyFill="1"/>
    <xf numFmtId="0" fontId="10" fillId="6" borderId="0" xfId="1" applyFont="1" applyFill="1" applyAlignment="1">
      <alignment horizontal="center"/>
    </xf>
    <xf numFmtId="164" fontId="10" fillId="6" borderId="0" xfId="1" applyNumberFormat="1" applyFont="1" applyFill="1"/>
    <xf numFmtId="43" fontId="3" fillId="3" borderId="23" xfId="3" applyFont="1" applyFill="1" applyBorder="1" applyAlignment="1">
      <alignment horizontal="center"/>
    </xf>
    <xf numFmtId="43" fontId="3" fillId="3" borderId="24" xfId="3" applyFont="1" applyFill="1" applyBorder="1" applyAlignment="1">
      <alignment horizontal="center"/>
    </xf>
    <xf numFmtId="43" fontId="3" fillId="0" borderId="24" xfId="3" applyFont="1" applyBorder="1"/>
    <xf numFmtId="0" fontId="3" fillId="0" borderId="0" xfId="0" applyFont="1" applyBorder="1"/>
    <xf numFmtId="43" fontId="3" fillId="3" borderId="0" xfId="3" applyFont="1" applyFill="1" applyBorder="1" applyAlignment="1">
      <alignment horizontal="center"/>
    </xf>
    <xf numFmtId="0" fontId="5" fillId="5" borderId="25" xfId="1" applyFont="1" applyFill="1" applyBorder="1" applyAlignment="1">
      <alignment horizontal="center"/>
    </xf>
    <xf numFmtId="165" fontId="3" fillId="0" borderId="11" xfId="3" applyNumberFormat="1" applyFont="1" applyBorder="1" applyAlignment="1">
      <alignment horizontal="center"/>
    </xf>
    <xf numFmtId="165" fontId="3" fillId="0" borderId="7" xfId="3" applyNumberFormat="1" applyFont="1" applyBorder="1" applyAlignment="1">
      <alignment horizontal="center"/>
    </xf>
    <xf numFmtId="165" fontId="3" fillId="0" borderId="26" xfId="3" applyNumberFormat="1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" fillId="0" borderId="21" xfId="0" applyFont="1" applyBorder="1"/>
    <xf numFmtId="3" fontId="3" fillId="0" borderId="10" xfId="1" applyNumberFormat="1" applyFont="1" applyFill="1" applyBorder="1"/>
    <xf numFmtId="0" fontId="3" fillId="0" borderId="14" xfId="3" applyNumberFormat="1" applyFont="1" applyBorder="1" applyAlignment="1">
      <alignment horizontal="center"/>
    </xf>
    <xf numFmtId="0" fontId="3" fillId="0" borderId="10" xfId="3" applyNumberFormat="1" applyFont="1" applyBorder="1" applyAlignment="1">
      <alignment horizontal="center"/>
    </xf>
    <xf numFmtId="0" fontId="3" fillId="0" borderId="11" xfId="3" applyNumberFormat="1" applyFont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/>
    </xf>
    <xf numFmtId="0" fontId="5" fillId="3" borderId="31" xfId="1" applyFont="1" applyFill="1" applyBorder="1" applyAlignment="1">
      <alignment horizontal="center"/>
    </xf>
    <xf numFmtId="0" fontId="5" fillId="3" borderId="13" xfId="0" applyFont="1" applyFill="1" applyBorder="1"/>
    <xf numFmtId="167" fontId="3" fillId="2" borderId="23" xfId="3" applyNumberFormat="1" applyFont="1" applyFill="1" applyBorder="1" applyAlignment="1">
      <alignment horizontal="center"/>
    </xf>
    <xf numFmtId="38" fontId="6" fillId="3" borderId="15" xfId="1" applyNumberFormat="1" applyFont="1" applyFill="1" applyBorder="1"/>
    <xf numFmtId="38" fontId="6" fillId="7" borderId="13" xfId="1" applyNumberFormat="1" applyFont="1" applyFill="1" applyBorder="1"/>
    <xf numFmtId="43" fontId="3" fillId="8" borderId="0" xfId="3" applyNumberFormat="1" applyFont="1" applyFill="1" applyBorder="1" applyAlignment="1">
      <alignment horizontal="center"/>
    </xf>
    <xf numFmtId="0" fontId="0" fillId="6" borderId="0" xfId="0" applyFill="1"/>
    <xf numFmtId="166" fontId="3" fillId="0" borderId="1" xfId="4" applyNumberFormat="1" applyFont="1" applyBorder="1" applyAlignment="1">
      <alignment horizontal="center"/>
    </xf>
    <xf numFmtId="166" fontId="13" fillId="9" borderId="1" xfId="4" applyNumberFormat="1" applyFont="1" applyFill="1" applyBorder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38" fontId="6" fillId="7" borderId="32" xfId="1" applyNumberFormat="1" applyFont="1" applyFill="1" applyBorder="1"/>
    <xf numFmtId="0" fontId="5" fillId="5" borderId="33" xfId="1" applyFont="1" applyFill="1" applyBorder="1" applyAlignment="1">
      <alignment horizontal="center"/>
    </xf>
    <xf numFmtId="0" fontId="3" fillId="3" borderId="27" xfId="1" applyFont="1" applyFill="1" applyBorder="1" applyAlignment="1">
      <alignment horizontal="center"/>
    </xf>
    <xf numFmtId="165" fontId="3" fillId="8" borderId="34" xfId="3" applyNumberFormat="1" applyFont="1" applyFill="1" applyBorder="1"/>
    <xf numFmtId="0" fontId="3" fillId="0" borderId="25" xfId="3" applyNumberFormat="1" applyFont="1" applyBorder="1" applyAlignment="1">
      <alignment horizontal="center"/>
    </xf>
    <xf numFmtId="0" fontId="3" fillId="0" borderId="20" xfId="3" applyNumberFormat="1" applyFont="1" applyBorder="1" applyAlignment="1">
      <alignment horizontal="center"/>
    </xf>
    <xf numFmtId="0" fontId="3" fillId="0" borderId="22" xfId="3" applyNumberFormat="1" applyFont="1" applyBorder="1" applyAlignment="1">
      <alignment horizontal="center"/>
    </xf>
    <xf numFmtId="166" fontId="3" fillId="0" borderId="8" xfId="4" applyNumberFormat="1" applyFont="1" applyBorder="1" applyAlignment="1">
      <alignment horizontal="center"/>
    </xf>
    <xf numFmtId="170" fontId="3" fillId="0" borderId="29" xfId="0" applyNumberFormat="1" applyFont="1" applyBorder="1"/>
    <xf numFmtId="169" fontId="3" fillId="0" borderId="35" xfId="6" applyNumberFormat="1" applyFont="1" applyBorder="1" applyAlignment="1">
      <alignment horizontal="center"/>
    </xf>
    <xf numFmtId="44" fontId="3" fillId="0" borderId="0" xfId="1" applyNumberFormat="1" applyFont="1" applyBorder="1" applyAlignment="1">
      <alignment horizontal="center"/>
    </xf>
    <xf numFmtId="165" fontId="3" fillId="0" borderId="29" xfId="3" applyNumberFormat="1" applyFont="1" applyBorder="1" applyAlignment="1">
      <alignment horizontal="center"/>
    </xf>
    <xf numFmtId="44" fontId="3" fillId="0" borderId="29" xfId="6" applyFont="1" applyBorder="1" applyAlignment="1">
      <alignment horizontal="center"/>
    </xf>
    <xf numFmtId="169" fontId="3" fillId="0" borderId="10" xfId="6" applyNumberFormat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166" fontId="13" fillId="9" borderId="10" xfId="4" applyNumberFormat="1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14" fillId="5" borderId="20" xfId="9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168" fontId="3" fillId="0" borderId="0" xfId="0" applyNumberFormat="1" applyFont="1" applyBorder="1"/>
    <xf numFmtId="0" fontId="3" fillId="6" borderId="36" xfId="0" applyFont="1" applyFill="1" applyBorder="1"/>
    <xf numFmtId="0" fontId="3" fillId="6" borderId="37" xfId="0" applyFont="1" applyFill="1" applyBorder="1"/>
    <xf numFmtId="166" fontId="5" fillId="5" borderId="38" xfId="0" applyNumberFormat="1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0" fillId="0" borderId="6" xfId="0" applyBorder="1"/>
    <xf numFmtId="169" fontId="3" fillId="0" borderId="6" xfId="6" applyNumberFormat="1" applyFont="1" applyBorder="1"/>
    <xf numFmtId="0" fontId="3" fillId="0" borderId="12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39" xfId="3" applyNumberFormat="1" applyFont="1" applyBorder="1" applyAlignment="1">
      <alignment horizontal="center"/>
    </xf>
    <xf numFmtId="0" fontId="0" fillId="0" borderId="12" xfId="0" applyBorder="1"/>
    <xf numFmtId="0" fontId="3" fillId="0" borderId="15" xfId="0" applyFont="1" applyBorder="1"/>
    <xf numFmtId="167" fontId="3" fillId="0" borderId="29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32" xfId="0" applyBorder="1"/>
    <xf numFmtId="0" fontId="5" fillId="0" borderId="41" xfId="0" applyFont="1" applyBorder="1" applyAlignment="1"/>
    <xf numFmtId="0" fontId="5" fillId="0" borderId="42" xfId="0" applyFont="1" applyBorder="1" applyAlignment="1"/>
    <xf numFmtId="0" fontId="5" fillId="0" borderId="43" xfId="0" applyFont="1" applyBorder="1" applyAlignment="1"/>
    <xf numFmtId="0" fontId="5" fillId="0" borderId="17" xfId="0" applyFont="1" applyBorder="1"/>
    <xf numFmtId="0" fontId="5" fillId="5" borderId="44" xfId="1" applyFont="1" applyFill="1" applyBorder="1" applyAlignment="1">
      <alignment horizontal="center"/>
    </xf>
    <xf numFmtId="0" fontId="5" fillId="5" borderId="45" xfId="1" applyFont="1" applyFill="1" applyBorder="1" applyAlignment="1">
      <alignment horizontal="center"/>
    </xf>
    <xf numFmtId="169" fontId="3" fillId="8" borderId="34" xfId="6" applyNumberFormat="1" applyFont="1" applyFill="1" applyBorder="1"/>
    <xf numFmtId="166" fontId="3" fillId="0" borderId="5" xfId="4" applyNumberFormat="1" applyFont="1" applyBorder="1" applyAlignment="1">
      <alignment horizontal="center"/>
    </xf>
    <xf numFmtId="0" fontId="3" fillId="0" borderId="29" xfId="3" applyNumberFormat="1" applyFont="1" applyBorder="1" applyAlignment="1">
      <alignment horizontal="center"/>
    </xf>
    <xf numFmtId="0" fontId="3" fillId="0" borderId="30" xfId="3" applyNumberFormat="1" applyFont="1" applyBorder="1" applyAlignment="1">
      <alignment horizontal="center"/>
    </xf>
    <xf numFmtId="164" fontId="5" fillId="5" borderId="18" xfId="2" applyNumberFormat="1" applyFont="1" applyFill="1" applyBorder="1" applyAlignment="1">
      <alignment horizontal="center"/>
    </xf>
    <xf numFmtId="166" fontId="3" fillId="0" borderId="21" xfId="4" applyNumberFormat="1" applyFont="1" applyBorder="1" applyAlignment="1">
      <alignment horizontal="center"/>
    </xf>
    <xf numFmtId="164" fontId="5" fillId="5" borderId="46" xfId="2" applyNumberFormat="1" applyFont="1" applyFill="1" applyBorder="1" applyAlignment="1">
      <alignment horizontal="center"/>
    </xf>
    <xf numFmtId="165" fontId="3" fillId="0" borderId="15" xfId="4" applyNumberFormat="1" applyFont="1" applyBorder="1" applyAlignment="1">
      <alignment horizontal="center"/>
    </xf>
    <xf numFmtId="165" fontId="3" fillId="0" borderId="47" xfId="4" applyNumberFormat="1" applyFont="1" applyBorder="1" applyAlignment="1">
      <alignment horizontal="center"/>
    </xf>
    <xf numFmtId="0" fontId="3" fillId="0" borderId="48" xfId="0" applyFont="1" applyBorder="1"/>
    <xf numFmtId="164" fontId="5" fillId="5" borderId="38" xfId="2" applyNumberFormat="1" applyFont="1" applyFill="1" applyBorder="1" applyAlignment="1">
      <alignment horizontal="center"/>
    </xf>
    <xf numFmtId="166" fontId="3" fillId="0" borderId="2" xfId="4" applyNumberFormat="1" applyFont="1" applyBorder="1" applyAlignment="1">
      <alignment horizontal="center"/>
    </xf>
    <xf numFmtId="166" fontId="3" fillId="0" borderId="10" xfId="4" applyNumberFormat="1" applyFont="1" applyBorder="1" applyAlignment="1">
      <alignment horizontal="center"/>
    </xf>
    <xf numFmtId="167" fontId="3" fillId="0" borderId="29" xfId="3" applyNumberFormat="1" applyFont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5" fontId="3" fillId="0" borderId="49" xfId="3" applyNumberFormat="1" applyFont="1" applyBorder="1" applyAlignment="1">
      <alignment horizontal="center"/>
    </xf>
    <xf numFmtId="167" fontId="3" fillId="0" borderId="49" xfId="3" applyNumberFormat="1" applyFont="1" applyBorder="1" applyAlignment="1">
      <alignment horizontal="center"/>
    </xf>
    <xf numFmtId="44" fontId="3" fillId="0" borderId="49" xfId="1" applyNumberFormat="1" applyFont="1" applyBorder="1" applyAlignment="1">
      <alignment horizontal="center"/>
    </xf>
    <xf numFmtId="165" fontId="3" fillId="0" borderId="14" xfId="4" applyNumberFormat="1" applyFont="1" applyBorder="1" applyAlignment="1">
      <alignment horizontal="center"/>
    </xf>
    <xf numFmtId="166" fontId="13" fillId="9" borderId="3" xfId="4" applyNumberFormat="1" applyFont="1" applyFill="1" applyBorder="1" applyAlignment="1">
      <alignment horizontal="center"/>
    </xf>
    <xf numFmtId="164" fontId="5" fillId="5" borderId="31" xfId="2" applyNumberFormat="1" applyFont="1" applyFill="1" applyBorder="1" applyAlignment="1">
      <alignment horizontal="center"/>
    </xf>
    <xf numFmtId="164" fontId="5" fillId="5" borderId="20" xfId="2" applyNumberFormat="1" applyFont="1" applyFill="1" applyBorder="1" applyAlignment="1">
      <alignment horizontal="center"/>
    </xf>
    <xf numFmtId="164" fontId="5" fillId="5" borderId="39" xfId="2" applyNumberFormat="1" applyFont="1" applyFill="1" applyBorder="1" applyAlignment="1">
      <alignment horizontal="center"/>
    </xf>
    <xf numFmtId="37" fontId="3" fillId="8" borderId="28" xfId="6" applyNumberFormat="1" applyFont="1" applyFill="1" applyBorder="1"/>
    <xf numFmtId="37" fontId="3" fillId="8" borderId="50" xfId="6" applyNumberFormat="1" applyFont="1" applyFill="1" applyBorder="1"/>
    <xf numFmtId="169" fontId="3" fillId="8" borderId="48" xfId="6" applyNumberFormat="1" applyFont="1" applyFill="1" applyBorder="1"/>
    <xf numFmtId="0" fontId="3" fillId="0" borderId="6" xfId="3" applyNumberFormat="1" applyFont="1" applyFill="1" applyBorder="1" applyAlignment="1">
      <alignment horizontal="center"/>
    </xf>
    <xf numFmtId="43" fontId="3" fillId="10" borderId="1" xfId="3" applyNumberFormat="1" applyFont="1" applyFill="1" applyBorder="1" applyAlignment="1">
      <alignment horizontal="center"/>
    </xf>
    <xf numFmtId="165" fontId="3" fillId="10" borderId="1" xfId="3" applyNumberFormat="1" applyFont="1" applyFill="1" applyBorder="1" applyAlignment="1">
      <alignment horizontal="center"/>
    </xf>
    <xf numFmtId="9" fontId="3" fillId="10" borderId="1" xfId="1" applyNumberFormat="1" applyFont="1" applyFill="1" applyBorder="1" applyAlignment="1">
      <alignment horizontal="center"/>
    </xf>
    <xf numFmtId="165" fontId="3" fillId="10" borderId="1" xfId="3" applyNumberFormat="1" applyFont="1" applyFill="1" applyBorder="1" applyAlignment="1">
      <alignment horizontal="right"/>
    </xf>
    <xf numFmtId="9" fontId="3" fillId="10" borderId="1" xfId="10" applyFont="1" applyFill="1" applyBorder="1" applyAlignment="1">
      <alignment horizontal="center"/>
    </xf>
    <xf numFmtId="165" fontId="3" fillId="10" borderId="26" xfId="3" applyNumberFormat="1" applyFont="1" applyFill="1" applyBorder="1" applyAlignment="1">
      <alignment horizontal="center"/>
    </xf>
    <xf numFmtId="0" fontId="3" fillId="10" borderId="21" xfId="0" applyFont="1" applyFill="1" applyBorder="1"/>
    <xf numFmtId="0" fontId="3" fillId="10" borderId="51" xfId="0" applyFont="1" applyFill="1" applyBorder="1"/>
    <xf numFmtId="38" fontId="3" fillId="10" borderId="25" xfId="1" applyNumberFormat="1" applyFont="1" applyFill="1" applyBorder="1" applyAlignment="1">
      <alignment horizontal="center"/>
    </xf>
    <xf numFmtId="0" fontId="3" fillId="6" borderId="21" xfId="3" applyNumberFormat="1" applyFont="1" applyFill="1" applyBorder="1" applyAlignment="1">
      <alignment horizontal="center"/>
    </xf>
    <xf numFmtId="0" fontId="3" fillId="0" borderId="52" xfId="0" applyFont="1" applyBorder="1"/>
    <xf numFmtId="0" fontId="3" fillId="0" borderId="53" xfId="0" applyFont="1" applyBorder="1"/>
    <xf numFmtId="0" fontId="3" fillId="0" borderId="52" xfId="0" applyFont="1" applyFill="1" applyBorder="1"/>
    <xf numFmtId="0" fontId="3" fillId="0" borderId="54" xfId="0" applyFont="1" applyFill="1" applyBorder="1"/>
    <xf numFmtId="0" fontId="3" fillId="0" borderId="54" xfId="0" applyFont="1" applyBorder="1"/>
    <xf numFmtId="0" fontId="3" fillId="0" borderId="27" xfId="3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38" fontId="6" fillId="7" borderId="36" xfId="1" applyNumberFormat="1" applyFont="1" applyFill="1" applyBorder="1"/>
    <xf numFmtId="38" fontId="6" fillId="7" borderId="55" xfId="1" applyNumberFormat="1" applyFont="1" applyFill="1" applyBorder="1"/>
    <xf numFmtId="38" fontId="4" fillId="0" borderId="37" xfId="1" applyNumberFormat="1" applyFont="1" applyBorder="1"/>
    <xf numFmtId="0" fontId="3" fillId="0" borderId="55" xfId="1" applyFont="1" applyBorder="1" applyAlignment="1">
      <alignment horizontal="center"/>
    </xf>
    <xf numFmtId="0" fontId="14" fillId="5" borderId="56" xfId="9" applyFont="1" applyFill="1" applyBorder="1" applyAlignment="1">
      <alignment horizontal="center"/>
    </xf>
    <xf numFmtId="43" fontId="3" fillId="0" borderId="56" xfId="3" applyNumberFormat="1" applyFont="1" applyBorder="1"/>
    <xf numFmtId="0" fontId="5" fillId="6" borderId="0" xfId="1" applyFont="1" applyFill="1" applyBorder="1" applyAlignment="1">
      <alignment horizontal="center"/>
    </xf>
    <xf numFmtId="166" fontId="3" fillId="0" borderId="39" xfId="4" applyNumberFormat="1" applyFont="1" applyBorder="1" applyAlignment="1">
      <alignment horizontal="center"/>
    </xf>
    <xf numFmtId="164" fontId="5" fillId="5" borderId="36" xfId="2" applyNumberFormat="1" applyFont="1" applyFill="1" applyBorder="1" applyAlignment="1">
      <alignment horizontal="center"/>
    </xf>
    <xf numFmtId="164" fontId="5" fillId="5" borderId="55" xfId="2" applyNumberFormat="1" applyFont="1" applyFill="1" applyBorder="1" applyAlignment="1">
      <alignment horizontal="center"/>
    </xf>
    <xf numFmtId="43" fontId="3" fillId="0" borderId="57" xfId="4" applyNumberFormat="1" applyFont="1" applyBorder="1" applyAlignment="1">
      <alignment horizontal="center"/>
    </xf>
    <xf numFmtId="165" fontId="3" fillId="0" borderId="52" xfId="4" applyNumberFormat="1" applyFont="1" applyBorder="1" applyAlignment="1">
      <alignment horizontal="center"/>
    </xf>
    <xf numFmtId="165" fontId="3" fillId="0" borderId="52" xfId="3" applyNumberFormat="1" applyFont="1" applyBorder="1" applyAlignment="1">
      <alignment horizontal="center"/>
    </xf>
    <xf numFmtId="43" fontId="3" fillId="0" borderId="55" xfId="4" applyNumberFormat="1" applyFont="1" applyBorder="1" applyAlignment="1">
      <alignment horizontal="center"/>
    </xf>
    <xf numFmtId="43" fontId="3" fillId="0" borderId="3" xfId="4" applyNumberFormat="1" applyFont="1" applyBorder="1" applyAlignment="1">
      <alignment horizontal="center"/>
    </xf>
    <xf numFmtId="43" fontId="3" fillId="0" borderId="2" xfId="4" applyNumberFormat="1" applyFont="1" applyBorder="1" applyAlignment="1">
      <alignment horizontal="center"/>
    </xf>
    <xf numFmtId="43" fontId="3" fillId="0" borderId="4" xfId="4" applyNumberFormat="1" applyFont="1" applyBorder="1" applyAlignment="1">
      <alignment horizontal="center"/>
    </xf>
    <xf numFmtId="165" fontId="3" fillId="6" borderId="0" xfId="3" applyNumberFormat="1" applyFont="1" applyFill="1" applyBorder="1" applyAlignment="1">
      <alignment horizontal="center"/>
    </xf>
    <xf numFmtId="0" fontId="10" fillId="6" borderId="0" xfId="3" applyNumberFormat="1" applyFont="1" applyFill="1" applyAlignment="1">
      <alignment horizontal="center"/>
    </xf>
    <xf numFmtId="171" fontId="0" fillId="6" borderId="0" xfId="0" applyNumberFormat="1" applyFill="1"/>
    <xf numFmtId="172" fontId="0" fillId="6" borderId="0" xfId="0" applyNumberFormat="1" applyFill="1"/>
    <xf numFmtId="166" fontId="0" fillId="6" borderId="0" xfId="0" applyNumberFormat="1" applyFill="1"/>
    <xf numFmtId="166" fontId="0" fillId="6" borderId="0" xfId="0" applyNumberFormat="1" applyFill="1" applyBorder="1"/>
    <xf numFmtId="0" fontId="0" fillId="6" borderId="0" xfId="0" applyFill="1" applyBorder="1"/>
    <xf numFmtId="38" fontId="4" fillId="6" borderId="0" xfId="1" applyNumberFormat="1" applyFont="1" applyFill="1" applyBorder="1"/>
    <xf numFmtId="166" fontId="3" fillId="6" borderId="0" xfId="3" applyNumberFormat="1" applyFont="1" applyFill="1" applyBorder="1" applyAlignment="1">
      <alignment horizontal="center"/>
    </xf>
    <xf numFmtId="43" fontId="3" fillId="6" borderId="0" xfId="3" applyFont="1" applyFill="1" applyBorder="1"/>
    <xf numFmtId="165" fontId="0" fillId="6" borderId="0" xfId="0" applyNumberFormat="1" applyFill="1"/>
    <xf numFmtId="0" fontId="5" fillId="6" borderId="58" xfId="0" applyFont="1" applyFill="1" applyBorder="1" applyAlignment="1"/>
    <xf numFmtId="43" fontId="3" fillId="8" borderId="34" xfId="3" applyNumberFormat="1" applyFont="1" applyFill="1" applyBorder="1"/>
    <xf numFmtId="165" fontId="3" fillId="0" borderId="6" xfId="3" applyNumberFormat="1" applyFont="1" applyBorder="1" applyAlignment="1">
      <alignment horizontal="right"/>
    </xf>
    <xf numFmtId="9" fontId="3" fillId="0" borderId="35" xfId="10" applyFont="1" applyBorder="1" applyAlignment="1">
      <alignment horizontal="center"/>
    </xf>
    <xf numFmtId="165" fontId="3" fillId="10" borderId="5" xfId="3" applyNumberFormat="1" applyFont="1" applyFill="1" applyBorder="1" applyAlignment="1">
      <alignment horizontal="center"/>
    </xf>
    <xf numFmtId="167" fontId="0" fillId="6" borderId="0" xfId="0" applyNumberFormat="1" applyFill="1"/>
    <xf numFmtId="0" fontId="3" fillId="6" borderId="0" xfId="3" applyNumberFormat="1" applyFont="1" applyFill="1" applyBorder="1" applyAlignment="1">
      <alignment horizontal="center"/>
    </xf>
    <xf numFmtId="164" fontId="5" fillId="6" borderId="0" xfId="1" applyNumberFormat="1" applyFont="1" applyFill="1" applyBorder="1" applyAlignment="1">
      <alignment horizontal="center"/>
    </xf>
    <xf numFmtId="165" fontId="3" fillId="6" borderId="0" xfId="3" applyNumberFormat="1" applyFont="1" applyFill="1" applyBorder="1"/>
    <xf numFmtId="0" fontId="3" fillId="6" borderId="0" xfId="0" applyFont="1" applyFill="1" applyBorder="1"/>
    <xf numFmtId="165" fontId="3" fillId="6" borderId="0" xfId="0" applyNumberFormat="1" applyFont="1" applyFill="1"/>
    <xf numFmtId="9" fontId="10" fillId="6" borderId="0" xfId="10" applyFont="1" applyFill="1"/>
    <xf numFmtId="0" fontId="1" fillId="6" borderId="0" xfId="0" applyFont="1" applyFill="1"/>
    <xf numFmtId="0" fontId="3" fillId="6" borderId="0" xfId="0" applyFont="1" applyFill="1"/>
    <xf numFmtId="166" fontId="15" fillId="0" borderId="10" xfId="4" applyNumberFormat="1" applyFont="1" applyBorder="1" applyAlignment="1">
      <alignment horizontal="center"/>
    </xf>
    <xf numFmtId="166" fontId="15" fillId="0" borderId="1" xfId="4" applyNumberFormat="1" applyFont="1" applyBorder="1" applyAlignment="1">
      <alignment horizontal="center"/>
    </xf>
    <xf numFmtId="166" fontId="15" fillId="0" borderId="5" xfId="4" applyNumberFormat="1" applyFont="1" applyBorder="1" applyAlignment="1">
      <alignment horizontal="center"/>
    </xf>
    <xf numFmtId="166" fontId="15" fillId="0" borderId="2" xfId="4" applyNumberFormat="1" applyFont="1" applyBorder="1" applyAlignment="1">
      <alignment horizontal="center"/>
    </xf>
    <xf numFmtId="166" fontId="15" fillId="0" borderId="4" xfId="4" applyNumberFormat="1" applyFont="1" applyBorder="1" applyAlignment="1">
      <alignment horizontal="center"/>
    </xf>
    <xf numFmtId="166" fontId="3" fillId="6" borderId="0" xfId="4" applyNumberFormat="1" applyFont="1" applyFill="1" applyBorder="1" applyAlignment="1">
      <alignment horizontal="center"/>
    </xf>
    <xf numFmtId="43" fontId="3" fillId="6" borderId="0" xfId="4" applyNumberFormat="1" applyFont="1" applyFill="1" applyBorder="1" applyAlignment="1">
      <alignment horizontal="center"/>
    </xf>
    <xf numFmtId="169" fontId="3" fillId="6" borderId="0" xfId="6" applyNumberFormat="1" applyFont="1" applyFill="1" applyBorder="1"/>
    <xf numFmtId="37" fontId="3" fillId="6" borderId="0" xfId="6" applyNumberFormat="1" applyFont="1" applyFill="1" applyBorder="1"/>
    <xf numFmtId="0" fontId="3" fillId="0" borderId="59" xfId="0" applyFont="1" applyBorder="1" applyAlignment="1">
      <alignment horizontal="left" indent="1"/>
    </xf>
    <xf numFmtId="0" fontId="10" fillId="6" borderId="32" xfId="1" applyFont="1" applyFill="1" applyBorder="1" applyAlignment="1">
      <alignment horizontal="center"/>
    </xf>
    <xf numFmtId="0" fontId="0" fillId="6" borderId="17" xfId="0" applyFill="1" applyBorder="1"/>
    <xf numFmtId="0" fontId="0" fillId="6" borderId="60" xfId="0" applyFill="1" applyBorder="1"/>
    <xf numFmtId="165" fontId="3" fillId="6" borderId="12" xfId="3" applyNumberFormat="1" applyFont="1" applyFill="1" applyBorder="1" applyAlignment="1">
      <alignment horizontal="center"/>
    </xf>
    <xf numFmtId="0" fontId="10" fillId="6" borderId="0" xfId="3" applyNumberFormat="1" applyFont="1" applyFill="1" applyBorder="1" applyAlignment="1">
      <alignment horizontal="center"/>
    </xf>
    <xf numFmtId="0" fontId="10" fillId="6" borderId="49" xfId="3" applyNumberFormat="1" applyFont="1" applyFill="1" applyBorder="1" applyAlignment="1">
      <alignment horizontal="center"/>
    </xf>
    <xf numFmtId="0" fontId="10" fillId="6" borderId="12" xfId="1" applyFont="1" applyFill="1" applyBorder="1" applyAlignment="1">
      <alignment horizontal="center"/>
    </xf>
    <xf numFmtId="0" fontId="8" fillId="6" borderId="0" xfId="1" quotePrefix="1" applyFont="1" applyFill="1" applyBorder="1" applyAlignment="1">
      <alignment horizontal="center"/>
    </xf>
    <xf numFmtId="0" fontId="0" fillId="6" borderId="49" xfId="0" applyFill="1" applyBorder="1"/>
    <xf numFmtId="0" fontId="5" fillId="6" borderId="12" xfId="1" applyFont="1" applyFill="1" applyBorder="1" applyAlignment="1">
      <alignment horizontal="center"/>
    </xf>
    <xf numFmtId="0" fontId="10" fillId="6" borderId="0" xfId="1" applyFont="1" applyFill="1" applyBorder="1" applyAlignment="1">
      <alignment horizontal="center"/>
    </xf>
    <xf numFmtId="166" fontId="10" fillId="6" borderId="0" xfId="1" applyNumberFormat="1" applyFont="1" applyFill="1" applyBorder="1" applyAlignment="1">
      <alignment horizontal="center"/>
    </xf>
    <xf numFmtId="167" fontId="1" fillId="6" borderId="49" xfId="0" applyNumberFormat="1" applyFont="1" applyFill="1" applyBorder="1"/>
    <xf numFmtId="165" fontId="10" fillId="6" borderId="0" xfId="3" applyNumberFormat="1" applyFont="1" applyFill="1" applyBorder="1" applyAlignment="1">
      <alignment horizontal="center"/>
    </xf>
    <xf numFmtId="165" fontId="3" fillId="6" borderId="13" xfId="3" applyNumberFormat="1" applyFont="1" applyFill="1" applyBorder="1" applyAlignment="1">
      <alignment horizontal="center"/>
    </xf>
    <xf numFmtId="165" fontId="10" fillId="6" borderId="21" xfId="3" applyNumberFormat="1" applyFont="1" applyFill="1" applyBorder="1" applyAlignment="1">
      <alignment horizontal="center"/>
    </xf>
    <xf numFmtId="0" fontId="0" fillId="6" borderId="51" xfId="0" applyFill="1" applyBorder="1"/>
    <xf numFmtId="0" fontId="3" fillId="0" borderId="52" xfId="0" applyFont="1" applyBorder="1" applyAlignment="1">
      <alignment horizontal="left" indent="1"/>
    </xf>
    <xf numFmtId="0" fontId="5" fillId="6" borderId="61" xfId="1" applyFont="1" applyFill="1" applyBorder="1" applyAlignment="1">
      <alignment horizontal="left"/>
    </xf>
    <xf numFmtId="0" fontId="3" fillId="6" borderId="62" xfId="3" applyNumberFormat="1" applyFont="1" applyFill="1" applyBorder="1" applyAlignment="1">
      <alignment horizontal="center"/>
    </xf>
    <xf numFmtId="38" fontId="6" fillId="7" borderId="17" xfId="1" applyNumberFormat="1" applyFont="1" applyFill="1" applyBorder="1"/>
    <xf numFmtId="38" fontId="6" fillId="7" borderId="21" xfId="1" applyNumberFormat="1" applyFont="1" applyFill="1" applyBorder="1"/>
    <xf numFmtId="38" fontId="4" fillId="0" borderId="0" xfId="1" applyNumberFormat="1" applyFont="1" applyBorder="1"/>
    <xf numFmtId="0" fontId="0" fillId="6" borderId="36" xfId="0" applyFill="1" applyBorder="1"/>
    <xf numFmtId="0" fontId="0" fillId="6" borderId="37" xfId="0" applyFill="1" applyBorder="1"/>
    <xf numFmtId="173" fontId="0" fillId="0" borderId="0" xfId="0" applyNumberFormat="1" applyAlignment="1">
      <alignment horizontal="left"/>
    </xf>
    <xf numFmtId="165" fontId="1" fillId="6" borderId="0" xfId="3" applyNumberFormat="1" applyFont="1" applyFill="1" applyBorder="1" applyAlignment="1">
      <alignment horizontal="center"/>
    </xf>
    <xf numFmtId="173" fontId="0" fillId="0" borderId="0" xfId="1" applyNumberFormat="1" applyFont="1" applyAlignment="1">
      <alignment horizontal="center"/>
    </xf>
    <xf numFmtId="0" fontId="12" fillId="0" borderId="0" xfId="8" applyAlignment="1">
      <alignment horizontal="center"/>
    </xf>
    <xf numFmtId="0" fontId="5" fillId="5" borderId="45" xfId="1" applyFont="1" applyFill="1" applyBorder="1" applyAlignment="1">
      <alignment horizontal="center"/>
    </xf>
    <xf numFmtId="168" fontId="3" fillId="11" borderId="1" xfId="3" applyNumberFormat="1" applyFont="1" applyFill="1" applyBorder="1"/>
    <xf numFmtId="168" fontId="3" fillId="11" borderId="5" xfId="3" applyNumberFormat="1" applyFont="1" applyFill="1" applyBorder="1"/>
    <xf numFmtId="168" fontId="3" fillId="11" borderId="29" xfId="3" applyNumberFormat="1" applyFont="1" applyFill="1" applyBorder="1"/>
    <xf numFmtId="0" fontId="3" fillId="11" borderId="24" xfId="0" applyFont="1" applyFill="1" applyBorder="1"/>
    <xf numFmtId="164" fontId="3" fillId="0" borderId="0" xfId="1" applyNumberFormat="1" applyFont="1"/>
    <xf numFmtId="164" fontId="9" fillId="0" borderId="0" xfId="1" applyNumberFormat="1" applyFont="1"/>
    <xf numFmtId="164" fontId="1" fillId="0" borderId="0" xfId="1" applyNumberFormat="1" applyFont="1"/>
    <xf numFmtId="9" fontId="3" fillId="0" borderId="0" xfId="10" applyFont="1"/>
    <xf numFmtId="165" fontId="10" fillId="6" borderId="0" xfId="1" applyNumberFormat="1" applyFont="1" applyFill="1" applyAlignment="1">
      <alignment horizontal="center"/>
    </xf>
    <xf numFmtId="43" fontId="0" fillId="0" borderId="0" xfId="1" applyNumberFormat="1" applyFont="1" applyAlignment="1">
      <alignment horizontal="center"/>
    </xf>
    <xf numFmtId="169" fontId="0" fillId="0" borderId="0" xfId="0" applyNumberFormat="1"/>
    <xf numFmtId="43" fontId="13" fillId="9" borderId="10" xfId="4" applyNumberFormat="1" applyFont="1" applyFill="1" applyBorder="1" applyAlignment="1">
      <alignment horizontal="center"/>
    </xf>
    <xf numFmtId="4" fontId="3" fillId="0" borderId="63" xfId="0" applyNumberFormat="1" applyFont="1" applyBorder="1" applyAlignment="1">
      <alignment wrapText="1"/>
    </xf>
    <xf numFmtId="0" fontId="3" fillId="0" borderId="64" xfId="0" applyFont="1" applyBorder="1" applyAlignment="1">
      <alignment vertical="center"/>
    </xf>
    <xf numFmtId="4" fontId="3" fillId="0" borderId="65" xfId="0" applyNumberFormat="1" applyFont="1" applyBorder="1" applyAlignment="1">
      <alignment wrapText="1"/>
    </xf>
    <xf numFmtId="0" fontId="0" fillId="6" borderId="41" xfId="0" applyFill="1" applyBorder="1"/>
    <xf numFmtId="0" fontId="0" fillId="6" borderId="42" xfId="0" applyFill="1" applyBorder="1"/>
    <xf numFmtId="169" fontId="3" fillId="0" borderId="65" xfId="0" applyNumberFormat="1" applyFont="1" applyBorder="1"/>
    <xf numFmtId="0" fontId="3" fillId="0" borderId="41" xfId="1" applyFont="1" applyBorder="1" applyAlignment="1">
      <alignment horizontal="center"/>
    </xf>
    <xf numFmtId="169" fontId="3" fillId="0" borderId="66" xfId="1" applyNumberFormat="1" applyFont="1" applyBorder="1" applyAlignment="1">
      <alignment horizontal="center"/>
    </xf>
    <xf numFmtId="169" fontId="3" fillId="0" borderId="42" xfId="1" applyNumberFormat="1" applyFont="1" applyBorder="1" applyAlignment="1">
      <alignment horizontal="center"/>
    </xf>
    <xf numFmtId="0" fontId="0" fillId="6" borderId="13" xfId="0" applyFill="1" applyBorder="1"/>
    <xf numFmtId="0" fontId="0" fillId="6" borderId="21" xfId="0" applyFill="1" applyBorder="1"/>
    <xf numFmtId="0" fontId="10" fillId="6" borderId="21" xfId="1" applyFont="1" applyFill="1" applyBorder="1" applyAlignment="1">
      <alignment horizontal="center"/>
    </xf>
    <xf numFmtId="0" fontId="3" fillId="0" borderId="47" xfId="0" applyFont="1" applyBorder="1"/>
    <xf numFmtId="0" fontId="3" fillId="0" borderId="64" xfId="0" applyFont="1" applyBorder="1"/>
    <xf numFmtId="0" fontId="3" fillId="0" borderId="42" xfId="0" applyFont="1" applyBorder="1" applyAlignment="1">
      <alignment horizontal="left" indent="1"/>
    </xf>
    <xf numFmtId="0" fontId="3" fillId="0" borderId="43" xfId="0" applyFont="1" applyBorder="1"/>
    <xf numFmtId="0" fontId="3" fillId="0" borderId="42" xfId="0" applyFont="1" applyBorder="1"/>
    <xf numFmtId="0" fontId="10" fillId="6" borderId="42" xfId="1" applyFont="1" applyFill="1" applyBorder="1" applyAlignment="1">
      <alignment horizontal="center"/>
    </xf>
    <xf numFmtId="0" fontId="0" fillId="6" borderId="43" xfId="0" applyFill="1" applyBorder="1"/>
    <xf numFmtId="0" fontId="0" fillId="0" borderId="42" xfId="0" applyBorder="1"/>
    <xf numFmtId="0" fontId="0" fillId="6" borderId="32" xfId="0" applyFill="1" applyBorder="1"/>
    <xf numFmtId="0" fontId="0" fillId="6" borderId="12" xfId="0" applyFill="1" applyBorder="1"/>
    <xf numFmtId="0" fontId="5" fillId="6" borderId="17" xfId="0" applyFont="1" applyFill="1" applyBorder="1"/>
    <xf numFmtId="0" fontId="5" fillId="6" borderId="42" xfId="0" applyFont="1" applyFill="1" applyBorder="1" applyAlignment="1"/>
    <xf numFmtId="0" fontId="5" fillId="6" borderId="43" xfId="0" applyFont="1" applyFill="1" applyBorder="1" applyAlignment="1"/>
    <xf numFmtId="37" fontId="3" fillId="0" borderId="4" xfId="6" applyNumberFormat="1" applyFont="1" applyBorder="1" applyAlignment="1">
      <alignment horizontal="center"/>
    </xf>
    <xf numFmtId="37" fontId="3" fillId="0" borderId="69" xfId="6" applyNumberFormat="1" applyFont="1" applyBorder="1" applyAlignment="1">
      <alignment horizontal="center"/>
    </xf>
    <xf numFmtId="37" fontId="3" fillId="0" borderId="6" xfId="6" applyNumberFormat="1" applyFont="1" applyBorder="1" applyAlignment="1">
      <alignment horizontal="center"/>
    </xf>
    <xf numFmtId="37" fontId="3" fillId="0" borderId="49" xfId="6" applyNumberFormat="1" applyFont="1" applyBorder="1" applyAlignment="1">
      <alignment horizontal="center"/>
    </xf>
    <xf numFmtId="169" fontId="3" fillId="0" borderId="65" xfId="0" applyNumberFormat="1" applyFont="1" applyBorder="1" applyAlignment="1">
      <alignment horizontal="center" wrapText="1"/>
    </xf>
    <xf numFmtId="169" fontId="3" fillId="0" borderId="67" xfId="0" applyNumberFormat="1" applyFont="1" applyBorder="1" applyAlignment="1">
      <alignment horizontal="center" wrapText="1"/>
    </xf>
    <xf numFmtId="0" fontId="5" fillId="6" borderId="61" xfId="0" applyFont="1" applyFill="1" applyBorder="1" applyAlignment="1">
      <alignment horizontal="center"/>
    </xf>
    <xf numFmtId="0" fontId="5" fillId="6" borderId="68" xfId="0" applyFont="1" applyFill="1" applyBorder="1" applyAlignment="1">
      <alignment horizontal="center"/>
    </xf>
    <xf numFmtId="164" fontId="5" fillId="5" borderId="44" xfId="1" applyNumberFormat="1" applyFont="1" applyFill="1" applyBorder="1" applyAlignment="1">
      <alignment horizontal="center"/>
    </xf>
    <xf numFmtId="164" fontId="5" fillId="5" borderId="45" xfId="1" applyNumberFormat="1" applyFont="1" applyFill="1" applyBorder="1" applyAlignment="1">
      <alignment horizontal="center"/>
    </xf>
    <xf numFmtId="0" fontId="5" fillId="5" borderId="58" xfId="1" applyFont="1" applyFill="1" applyBorder="1" applyAlignment="1">
      <alignment horizontal="center"/>
    </xf>
    <xf numFmtId="0" fontId="5" fillId="5" borderId="61" xfId="1" applyFont="1" applyFill="1" applyBorder="1" applyAlignment="1">
      <alignment horizontal="center"/>
    </xf>
    <xf numFmtId="0" fontId="5" fillId="5" borderId="45" xfId="1" applyFont="1" applyFill="1" applyBorder="1" applyAlignment="1">
      <alignment horizontal="center"/>
    </xf>
    <xf numFmtId="0" fontId="5" fillId="6" borderId="61" xfId="1" applyFont="1" applyFill="1" applyBorder="1" applyAlignment="1">
      <alignment horizontal="center"/>
    </xf>
    <xf numFmtId="0" fontId="5" fillId="6" borderId="68" xfId="1" applyFont="1" applyFill="1" applyBorder="1" applyAlignment="1">
      <alignment horizontal="center"/>
    </xf>
    <xf numFmtId="0" fontId="5" fillId="3" borderId="56" xfId="1" applyFont="1" applyFill="1" applyBorder="1" applyAlignment="1">
      <alignment horizontal="center" wrapText="1"/>
    </xf>
    <xf numFmtId="0" fontId="5" fillId="3" borderId="25" xfId="1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 wrapText="1"/>
    </xf>
    <xf numFmtId="164" fontId="5" fillId="5" borderId="68" xfId="1" applyNumberFormat="1" applyFont="1" applyFill="1" applyBorder="1" applyAlignment="1">
      <alignment horizontal="center"/>
    </xf>
  </cellXfs>
  <cellStyles count="13">
    <cellStyle name="=C:\WINNT\SYSTEM32\COMMAND.COM" xfId="1"/>
    <cellStyle name="=C:\WINNT\SYSTEM32\COMMAND.COM 2" xfId="2"/>
    <cellStyle name="Comma" xfId="3" builtinId="3"/>
    <cellStyle name="Comma 2" xfId="4"/>
    <cellStyle name="Comma 3" xfId="5"/>
    <cellStyle name="Currency" xfId="6" builtinId="4"/>
    <cellStyle name="Currency 2" xfId="7"/>
    <cellStyle name="Hyperlink" xfId="8" builtinId="8"/>
    <cellStyle name="Normal" xfId="0" builtinId="0"/>
    <cellStyle name="Normal 2" xfId="9"/>
    <cellStyle name="Percent" xfId="10" builtinId="5"/>
    <cellStyle name="Percent 2" xfId="11"/>
    <cellStyle name="Percent 3" xfId="12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1402080</xdr:colOff>
      <xdr:row>1</xdr:row>
      <xdr:rowOff>114300</xdr:rowOff>
    </xdr:from>
    <xdr:to>
      <xdr:col>9</xdr:col>
      <xdr:colOff>1386840</xdr:colOff>
      <xdr:row>6</xdr:row>
      <xdr:rowOff>182880</xdr:rowOff>
    </xdr:to>
    <xdr:pic>
      <xdr:nvPicPr>
        <xdr:cNvPr id="103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820" y="289560"/>
          <a:ext cx="153924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</xdr:colOff>
      <xdr:row>46</xdr:row>
      <xdr:rowOff>129540</xdr:rowOff>
    </xdr:from>
    <xdr:to>
      <xdr:col>11</xdr:col>
      <xdr:colOff>1143000</xdr:colOff>
      <xdr:row>51</xdr:row>
      <xdr:rowOff>76200</xdr:rowOff>
    </xdr:to>
    <xdr:pic>
      <xdr:nvPicPr>
        <xdr:cNvPr id="104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8140" y="10599420"/>
          <a:ext cx="108204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</xdr:colOff>
      <xdr:row>46</xdr:row>
      <xdr:rowOff>152400</xdr:rowOff>
    </xdr:from>
    <xdr:to>
      <xdr:col>11</xdr:col>
      <xdr:colOff>1097280</xdr:colOff>
      <xdr:row>51</xdr:row>
      <xdr:rowOff>68580</xdr:rowOff>
    </xdr:to>
    <xdr:pic>
      <xdr:nvPicPr>
        <xdr:cNvPr id="20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3380" y="10287000"/>
          <a:ext cx="10820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45720</xdr:colOff>
      <xdr:row>1</xdr:row>
      <xdr:rowOff>45720</xdr:rowOff>
    </xdr:from>
    <xdr:to>
      <xdr:col>9</xdr:col>
      <xdr:colOff>1386840</xdr:colOff>
      <xdr:row>6</xdr:row>
      <xdr:rowOff>190500</xdr:rowOff>
    </xdr:to>
    <xdr:pic>
      <xdr:nvPicPr>
        <xdr:cNvPr id="2068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220980"/>
          <a:ext cx="1341120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</xdr:colOff>
      <xdr:row>46</xdr:row>
      <xdr:rowOff>121920</xdr:rowOff>
    </xdr:from>
    <xdr:to>
      <xdr:col>11</xdr:col>
      <xdr:colOff>1112520</xdr:colOff>
      <xdr:row>51</xdr:row>
      <xdr:rowOff>38100</xdr:rowOff>
    </xdr:to>
    <xdr:pic>
      <xdr:nvPicPr>
        <xdr:cNvPr id="30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10256520"/>
          <a:ext cx="10820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45720</xdr:colOff>
      <xdr:row>1</xdr:row>
      <xdr:rowOff>60960</xdr:rowOff>
    </xdr:from>
    <xdr:to>
      <xdr:col>9</xdr:col>
      <xdr:colOff>1386840</xdr:colOff>
      <xdr:row>6</xdr:row>
      <xdr:rowOff>205740</xdr:rowOff>
    </xdr:to>
    <xdr:pic>
      <xdr:nvPicPr>
        <xdr:cNvPr id="3088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236220"/>
          <a:ext cx="1341120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1</xdr:row>
      <xdr:rowOff>30480</xdr:rowOff>
    </xdr:from>
    <xdr:to>
      <xdr:col>9</xdr:col>
      <xdr:colOff>1447800</xdr:colOff>
      <xdr:row>6</xdr:row>
      <xdr:rowOff>175260</xdr:rowOff>
    </xdr:to>
    <xdr:pic>
      <xdr:nvPicPr>
        <xdr:cNvPr id="4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05740"/>
          <a:ext cx="1341120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</xdr:colOff>
      <xdr:row>46</xdr:row>
      <xdr:rowOff>121920</xdr:rowOff>
    </xdr:from>
    <xdr:to>
      <xdr:col>11</xdr:col>
      <xdr:colOff>1097280</xdr:colOff>
      <xdr:row>51</xdr:row>
      <xdr:rowOff>38100</xdr:rowOff>
    </xdr:to>
    <xdr:pic>
      <xdr:nvPicPr>
        <xdr:cNvPr id="411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3860" y="10256520"/>
          <a:ext cx="10820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bnenergy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rbnenergy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rbnenergy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rbnener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8"/>
  <sheetViews>
    <sheetView topLeftCell="A10" zoomScale="50" zoomScaleNormal="50" workbookViewId="0">
      <selection activeCell="A42" sqref="A42:M55"/>
    </sheetView>
  </sheetViews>
  <sheetFormatPr defaultRowHeight="13.2" x14ac:dyDescent="0.25"/>
  <cols>
    <col min="1" max="1" width="4.21875" customWidth="1"/>
    <col min="2" max="2" width="4.109375" customWidth="1"/>
    <col min="3" max="3" width="20.6640625" customWidth="1"/>
    <col min="4" max="4" width="15.21875" customWidth="1"/>
    <col min="5" max="5" width="17.109375" customWidth="1"/>
    <col min="6" max="6" width="15.21875" customWidth="1"/>
    <col min="7" max="7" width="13.6640625" customWidth="1"/>
    <col min="8" max="8" width="18.33203125" style="1" customWidth="1"/>
    <col min="9" max="9" width="22.6640625" style="1" customWidth="1"/>
    <col min="10" max="10" width="23" style="1" customWidth="1"/>
    <col min="11" max="11" width="16.77734375" customWidth="1"/>
    <col min="12" max="12" width="16.88671875" customWidth="1"/>
    <col min="13" max="13" width="3.77734375" customWidth="1"/>
    <col min="14" max="14" width="8.33203125" customWidth="1"/>
    <col min="15" max="15" width="9.109375" style="2" bestFit="1" customWidth="1"/>
    <col min="16" max="16" width="10.44140625" style="2" bestFit="1" customWidth="1"/>
    <col min="17" max="17" width="4.5546875" style="1" customWidth="1"/>
    <col min="18" max="18" width="13.33203125" customWidth="1"/>
    <col min="19" max="19" width="11.44140625" customWidth="1"/>
    <col min="52" max="52" width="15.44140625" bestFit="1" customWidth="1"/>
  </cols>
  <sheetData>
    <row r="1" spans="1:17" ht="13.8" thickBot="1" x14ac:dyDescent="0.3">
      <c r="A1" s="75"/>
      <c r="B1" s="75"/>
      <c r="C1" s="75"/>
      <c r="D1" s="75"/>
      <c r="E1" s="75"/>
      <c r="F1" s="75"/>
      <c r="G1" s="75"/>
      <c r="H1" s="47"/>
      <c r="I1" s="47"/>
      <c r="J1" s="47"/>
      <c r="K1" s="75"/>
      <c r="L1" s="75"/>
      <c r="M1" s="75"/>
    </row>
    <row r="2" spans="1:17" s="46" customFormat="1" ht="21" customHeight="1" x14ac:dyDescent="0.3">
      <c r="A2" s="75"/>
      <c r="B2" s="243"/>
      <c r="C2" s="196" t="s">
        <v>84</v>
      </c>
      <c r="D2" s="293" t="s">
        <v>85</v>
      </c>
      <c r="E2" s="293"/>
      <c r="F2" s="293"/>
      <c r="G2" s="293"/>
      <c r="H2" s="294"/>
      <c r="I2" s="220"/>
      <c r="J2" s="221"/>
      <c r="K2" s="222"/>
      <c r="L2" s="75"/>
      <c r="M2" s="75"/>
      <c r="O2" s="48"/>
      <c r="P2" s="48"/>
      <c r="Q2" s="47"/>
    </row>
    <row r="3" spans="1:17" s="45" customFormat="1" ht="17.399999999999999" x14ac:dyDescent="0.3">
      <c r="A3" s="186"/>
      <c r="B3" s="244"/>
      <c r="C3" s="62" t="s">
        <v>27</v>
      </c>
      <c r="D3" s="63" t="s">
        <v>28</v>
      </c>
      <c r="E3" s="63" t="s">
        <v>29</v>
      </c>
      <c r="F3" s="63" t="s">
        <v>30</v>
      </c>
      <c r="G3" s="63" t="s">
        <v>31</v>
      </c>
      <c r="H3" s="64" t="s">
        <v>32</v>
      </c>
      <c r="I3" s="223"/>
      <c r="J3" s="224"/>
      <c r="K3" s="225"/>
      <c r="L3" s="186"/>
      <c r="M3" s="186"/>
    </row>
    <row r="4" spans="1:17" ht="40.799999999999997" customHeight="1" x14ac:dyDescent="0.4">
      <c r="A4" s="75"/>
      <c r="B4" s="244"/>
      <c r="C4" s="72" t="s">
        <v>33</v>
      </c>
      <c r="D4" s="71">
        <v>379.48200000000003</v>
      </c>
      <c r="E4" s="302" t="s">
        <v>4</v>
      </c>
      <c r="F4" s="65" t="s">
        <v>23</v>
      </c>
      <c r="G4" s="304" t="s">
        <v>24</v>
      </c>
      <c r="H4" s="66" t="s">
        <v>8</v>
      </c>
      <c r="I4" s="226"/>
      <c r="J4" s="227"/>
      <c r="K4" s="228"/>
      <c r="L4" s="75"/>
      <c r="M4" s="75"/>
    </row>
    <row r="5" spans="1:17" ht="18" thickBot="1" x14ac:dyDescent="0.35">
      <c r="A5" s="75"/>
      <c r="B5" s="244"/>
      <c r="C5" s="70"/>
      <c r="D5" s="69" t="s">
        <v>11</v>
      </c>
      <c r="E5" s="303"/>
      <c r="F5" s="67" t="s">
        <v>22</v>
      </c>
      <c r="G5" s="305"/>
      <c r="H5" s="68" t="s">
        <v>9</v>
      </c>
      <c r="I5" s="229"/>
      <c r="J5" s="230"/>
      <c r="K5" s="228"/>
      <c r="L5" s="75"/>
      <c r="M5" s="75"/>
    </row>
    <row r="6" spans="1:17" ht="17.399999999999999" x14ac:dyDescent="0.3">
      <c r="A6" s="75"/>
      <c r="B6" s="161">
        <v>1</v>
      </c>
      <c r="C6" s="24" t="s">
        <v>20</v>
      </c>
      <c r="D6" s="26"/>
      <c r="E6" s="19">
        <v>6.4169999999999998</v>
      </c>
      <c r="F6" s="20">
        <f t="shared" ref="F6:F11" si="0">$D$4/E6</f>
        <v>59.136979897148208</v>
      </c>
      <c r="G6" s="6">
        <f t="shared" ref="G6:G11" si="1">(E6/$D$4)*1000</f>
        <v>16.90989295934985</v>
      </c>
      <c r="H6" s="21">
        <v>1010</v>
      </c>
      <c r="I6" s="223"/>
      <c r="J6" s="231"/>
      <c r="K6" s="232"/>
      <c r="L6" s="187"/>
      <c r="M6" s="201"/>
    </row>
    <row r="7" spans="1:17" ht="17.399999999999999" x14ac:dyDescent="0.3">
      <c r="A7" s="75"/>
      <c r="B7" s="161">
        <v>2</v>
      </c>
      <c r="C7" s="24" t="s">
        <v>15</v>
      </c>
      <c r="D7" s="27">
        <v>65897</v>
      </c>
      <c r="E7" s="5">
        <v>10.122999999999999</v>
      </c>
      <c r="F7" s="6">
        <f t="shared" si="0"/>
        <v>37.487108564654754</v>
      </c>
      <c r="G7" s="6">
        <f t="shared" si="1"/>
        <v>26.675837062100438</v>
      </c>
      <c r="H7" s="15">
        <f>D7/F7</f>
        <v>1757.8576348812326</v>
      </c>
      <c r="I7" s="223"/>
      <c r="J7" s="233"/>
      <c r="K7" s="228"/>
      <c r="L7" s="75"/>
      <c r="M7" s="75"/>
      <c r="N7" s="4"/>
    </row>
    <row r="8" spans="1:17" ht="17.399999999999999" x14ac:dyDescent="0.3">
      <c r="A8" s="75"/>
      <c r="B8" s="161">
        <v>3</v>
      </c>
      <c r="C8" s="24" t="s">
        <v>16</v>
      </c>
      <c r="D8" s="27">
        <v>90875</v>
      </c>
      <c r="E8" s="5">
        <v>10.428000000000001</v>
      </c>
      <c r="F8" s="6">
        <f t="shared" si="0"/>
        <v>36.390678941311855</v>
      </c>
      <c r="G8" s="6">
        <f t="shared" si="1"/>
        <v>27.47956424810663</v>
      </c>
      <c r="H8" s="15">
        <f>D8/F8</f>
        <v>2497.20540104669</v>
      </c>
      <c r="I8" s="226"/>
      <c r="J8" s="246" t="s">
        <v>95</v>
      </c>
      <c r="K8" s="228"/>
      <c r="L8" s="188"/>
      <c r="M8" s="75"/>
      <c r="N8" s="4"/>
    </row>
    <row r="9" spans="1:17" ht="17.399999999999999" x14ac:dyDescent="0.3">
      <c r="A9" s="75"/>
      <c r="B9" s="161">
        <v>4</v>
      </c>
      <c r="C9" s="24" t="s">
        <v>18</v>
      </c>
      <c r="D9" s="27">
        <v>102950</v>
      </c>
      <c r="E9" s="5">
        <v>11.933</v>
      </c>
      <c r="F9" s="6">
        <f t="shared" si="0"/>
        <v>31.801055895416077</v>
      </c>
      <c r="G9" s="6">
        <f t="shared" si="1"/>
        <v>31.445496756104369</v>
      </c>
      <c r="H9" s="15">
        <f>D9/F9</f>
        <v>3237.3138910409448</v>
      </c>
      <c r="I9" s="223"/>
      <c r="J9" s="247">
        <v>41295</v>
      </c>
      <c r="K9" s="228"/>
      <c r="L9" s="75"/>
      <c r="M9" s="75"/>
      <c r="N9" s="4"/>
    </row>
    <row r="10" spans="1:17" ht="17.399999999999999" x14ac:dyDescent="0.3">
      <c r="A10" s="75"/>
      <c r="B10" s="161">
        <v>5</v>
      </c>
      <c r="C10" s="24" t="s">
        <v>17</v>
      </c>
      <c r="D10" s="27">
        <v>98924</v>
      </c>
      <c r="E10" s="5">
        <v>12.385999999999999</v>
      </c>
      <c r="F10" s="6">
        <f t="shared" si="0"/>
        <v>30.637978362667532</v>
      </c>
      <c r="G10" s="6">
        <f t="shared" si="1"/>
        <v>32.639229265156182</v>
      </c>
      <c r="H10" s="15">
        <f>D10/F10</f>
        <v>3228.8031158263102</v>
      </c>
      <c r="I10" s="223"/>
      <c r="J10" s="248" t="s">
        <v>96</v>
      </c>
      <c r="K10" s="228"/>
      <c r="L10" s="189"/>
      <c r="M10" s="189"/>
      <c r="N10" s="4"/>
    </row>
    <row r="11" spans="1:17" ht="18" thickBot="1" x14ac:dyDescent="0.35">
      <c r="A11" s="75"/>
      <c r="B11" s="165">
        <v>6</v>
      </c>
      <c r="C11" s="25" t="s">
        <v>19</v>
      </c>
      <c r="D11" s="28">
        <v>110020</v>
      </c>
      <c r="E11" s="16">
        <v>13.721</v>
      </c>
      <c r="F11" s="17">
        <f t="shared" si="0"/>
        <v>27.657022082938564</v>
      </c>
      <c r="G11" s="17">
        <f t="shared" si="1"/>
        <v>36.157182685871796</v>
      </c>
      <c r="H11" s="18">
        <f>D11/F11</f>
        <v>3978.0132390996146</v>
      </c>
      <c r="I11" s="234"/>
      <c r="J11" s="235"/>
      <c r="K11" s="236"/>
      <c r="L11" s="75"/>
      <c r="M11" s="75"/>
      <c r="N11" s="4"/>
    </row>
    <row r="12" spans="1:17" ht="17.399999999999999" x14ac:dyDescent="0.3">
      <c r="A12" s="75"/>
      <c r="B12" s="75"/>
      <c r="C12" s="192"/>
      <c r="D12" s="185"/>
      <c r="E12" s="193"/>
      <c r="F12" s="194"/>
      <c r="G12" s="194"/>
      <c r="H12" s="185"/>
      <c r="I12" s="185"/>
      <c r="J12" s="195"/>
      <c r="K12" s="75"/>
      <c r="L12" s="190"/>
      <c r="M12" s="189"/>
      <c r="N12" s="4"/>
    </row>
    <row r="13" spans="1:17" ht="13.8" thickBot="1" x14ac:dyDescent="0.3">
      <c r="A13" s="75"/>
      <c r="B13" s="75"/>
      <c r="C13" s="75"/>
      <c r="D13" s="47">
        <v>1</v>
      </c>
      <c r="E13" s="47">
        <v>2</v>
      </c>
      <c r="F13" s="47">
        <v>3</v>
      </c>
      <c r="G13" s="47">
        <v>4</v>
      </c>
      <c r="H13" s="47">
        <v>5</v>
      </c>
      <c r="I13" s="47">
        <v>6</v>
      </c>
      <c r="J13" s="47">
        <v>7</v>
      </c>
      <c r="K13" s="47">
        <v>8</v>
      </c>
      <c r="L13" s="191"/>
      <c r="M13" s="75"/>
      <c r="N13" s="3"/>
    </row>
    <row r="14" spans="1:17" ht="17.399999999999999" x14ac:dyDescent="0.3">
      <c r="A14" s="75"/>
      <c r="B14" s="243"/>
      <c r="C14" s="238" t="s">
        <v>60</v>
      </c>
      <c r="D14" s="300" t="s">
        <v>78</v>
      </c>
      <c r="E14" s="300"/>
      <c r="F14" s="300"/>
      <c r="G14" s="300"/>
      <c r="H14" s="300"/>
      <c r="I14" s="300"/>
      <c r="J14" s="300"/>
      <c r="K14" s="301"/>
      <c r="L14" s="174"/>
      <c r="M14" s="174"/>
    </row>
    <row r="15" spans="1:17" ht="18" thickBot="1" x14ac:dyDescent="0.35">
      <c r="A15" s="75"/>
      <c r="B15" s="244"/>
      <c r="C15" s="160"/>
      <c r="D15" s="84" t="s">
        <v>50</v>
      </c>
      <c r="E15" s="85" t="s">
        <v>51</v>
      </c>
      <c r="F15" s="85" t="s">
        <v>52</v>
      </c>
      <c r="G15" s="85" t="s">
        <v>53</v>
      </c>
      <c r="H15" s="85" t="s">
        <v>54</v>
      </c>
      <c r="I15" s="85" t="s">
        <v>55</v>
      </c>
      <c r="J15" s="85" t="s">
        <v>57</v>
      </c>
      <c r="K15" s="86" t="s">
        <v>58</v>
      </c>
      <c r="L15" s="191"/>
      <c r="M15" s="202"/>
    </row>
    <row r="16" spans="1:17" ht="17.399999999999999" x14ac:dyDescent="0.3">
      <c r="A16" s="75"/>
      <c r="B16" s="244"/>
      <c r="C16" s="168"/>
      <c r="D16" s="81"/>
      <c r="E16" s="122" t="s">
        <v>0</v>
      </c>
      <c r="F16" s="123"/>
      <c r="G16" s="32" t="s">
        <v>5</v>
      </c>
      <c r="H16" s="33" t="s">
        <v>13</v>
      </c>
      <c r="I16" s="34" t="s">
        <v>13</v>
      </c>
      <c r="J16" s="35" t="s">
        <v>21</v>
      </c>
      <c r="K16" s="36" t="s">
        <v>10</v>
      </c>
      <c r="L16" s="191"/>
      <c r="M16" s="203"/>
    </row>
    <row r="17" spans="1:13" ht="18" thickBot="1" x14ac:dyDescent="0.35">
      <c r="A17" s="75"/>
      <c r="B17" s="244"/>
      <c r="C17" s="169" t="s">
        <v>25</v>
      </c>
      <c r="D17" s="54" t="s">
        <v>3</v>
      </c>
      <c r="E17" s="37" t="s">
        <v>1</v>
      </c>
      <c r="F17" s="38" t="s">
        <v>2</v>
      </c>
      <c r="G17" s="39" t="s">
        <v>6</v>
      </c>
      <c r="H17" s="40" t="s">
        <v>7</v>
      </c>
      <c r="I17" s="41" t="s">
        <v>14</v>
      </c>
      <c r="J17" s="42" t="s">
        <v>13</v>
      </c>
      <c r="K17" s="43" t="s">
        <v>34</v>
      </c>
      <c r="L17" s="75"/>
      <c r="M17" s="203"/>
    </row>
    <row r="18" spans="1:13" ht="17.399999999999999" x14ac:dyDescent="0.3">
      <c r="A18" s="75"/>
      <c r="B18" s="161">
        <v>1</v>
      </c>
      <c r="C18" s="170" t="s">
        <v>20</v>
      </c>
      <c r="D18" s="49">
        <v>77.599999999999994</v>
      </c>
      <c r="E18" s="44">
        <f t="shared" ref="E18:E23" si="2">G6*D18/100</f>
        <v>13.122076936455482</v>
      </c>
      <c r="F18" s="7">
        <f t="shared" ref="F18:F23" si="3">(E18*$G$26)*1000</f>
        <v>2624415.3872910966</v>
      </c>
      <c r="G18" s="29">
        <v>0</v>
      </c>
      <c r="H18" s="30">
        <f t="shared" ref="H18:H23" si="4">G18*F18</f>
        <v>0</v>
      </c>
      <c r="I18" s="31">
        <f t="shared" ref="I18:I23" si="5">H18/42</f>
        <v>0</v>
      </c>
      <c r="J18" s="77"/>
      <c r="K18" s="55">
        <f t="shared" ref="K18:K23" si="6">(H6*D18)/100</f>
        <v>783.76</v>
      </c>
      <c r="L18" s="75"/>
      <c r="M18" s="185"/>
    </row>
    <row r="19" spans="1:13" ht="17.399999999999999" x14ac:dyDescent="0.3">
      <c r="A19" s="75"/>
      <c r="B19" s="161">
        <v>2</v>
      </c>
      <c r="C19" s="170" t="s">
        <v>15</v>
      </c>
      <c r="D19" s="50">
        <v>13.2</v>
      </c>
      <c r="E19" s="44">
        <f t="shared" si="2"/>
        <v>3.5212104921972576</v>
      </c>
      <c r="F19" s="7">
        <f t="shared" si="3"/>
        <v>704242.09843945154</v>
      </c>
      <c r="G19" s="8">
        <v>0.9</v>
      </c>
      <c r="H19" s="23">
        <f t="shared" si="4"/>
        <v>633817.88859550643</v>
      </c>
      <c r="I19" s="7">
        <f t="shared" si="5"/>
        <v>15090.90210941682</v>
      </c>
      <c r="J19" s="9">
        <f>I19/$I$25</f>
        <v>0.56115616388997325</v>
      </c>
      <c r="K19" s="56">
        <f t="shared" si="6"/>
        <v>232.03720780432269</v>
      </c>
      <c r="L19" s="75"/>
      <c r="M19" s="185"/>
    </row>
    <row r="20" spans="1:13" ht="17.399999999999999" x14ac:dyDescent="0.3">
      <c r="A20" s="75"/>
      <c r="B20" s="161">
        <v>3</v>
      </c>
      <c r="C20" s="170" t="s">
        <v>16</v>
      </c>
      <c r="D20" s="50">
        <v>5</v>
      </c>
      <c r="E20" s="44">
        <f t="shared" si="2"/>
        <v>1.3739782124053315</v>
      </c>
      <c r="F20" s="7">
        <f t="shared" si="3"/>
        <v>274795.64248106629</v>
      </c>
      <c r="G20" s="8">
        <v>0.99</v>
      </c>
      <c r="H20" s="23">
        <f t="shared" si="4"/>
        <v>272047.6860562556</v>
      </c>
      <c r="I20" s="10">
        <f t="shared" si="5"/>
        <v>6477.3258584822761</v>
      </c>
      <c r="J20" s="9">
        <f>I20/$I$25</f>
        <v>0.24085977794151275</v>
      </c>
      <c r="K20" s="56">
        <f t="shared" si="6"/>
        <v>124.86027005233449</v>
      </c>
      <c r="L20" s="75"/>
      <c r="M20" s="185"/>
    </row>
    <row r="21" spans="1:13" ht="17.399999999999999" x14ac:dyDescent="0.3">
      <c r="A21" s="75"/>
      <c r="B21" s="161">
        <v>4</v>
      </c>
      <c r="C21" s="170" t="s">
        <v>18</v>
      </c>
      <c r="D21" s="50">
        <v>1.3</v>
      </c>
      <c r="E21" s="44">
        <f t="shared" si="2"/>
        <v>0.40879145782935677</v>
      </c>
      <c r="F21" s="7">
        <f t="shared" si="3"/>
        <v>81758.291565871361</v>
      </c>
      <c r="G21" s="8">
        <v>0.99</v>
      </c>
      <c r="H21" s="23">
        <f t="shared" si="4"/>
        <v>80940.708650212648</v>
      </c>
      <c r="I21" s="10">
        <f>H21/42</f>
        <v>1927.1597297669678</v>
      </c>
      <c r="J21" s="9">
        <f>I21/$I$25</f>
        <v>7.1661558289775468E-2</v>
      </c>
      <c r="K21" s="56">
        <f t="shared" si="6"/>
        <v>42.085080583532282</v>
      </c>
      <c r="L21" s="75"/>
      <c r="M21" s="185"/>
    </row>
    <row r="22" spans="1:13" ht="17.399999999999999" x14ac:dyDescent="0.3">
      <c r="A22" s="75"/>
      <c r="B22" s="161">
        <v>5</v>
      </c>
      <c r="C22" s="170" t="s">
        <v>17</v>
      </c>
      <c r="D22" s="50">
        <v>1.1000000000000001</v>
      </c>
      <c r="E22" s="44">
        <f t="shared" si="2"/>
        <v>0.359031521916718</v>
      </c>
      <c r="F22" s="7">
        <f t="shared" si="3"/>
        <v>71806.304383343595</v>
      </c>
      <c r="G22" s="8">
        <v>0.99</v>
      </c>
      <c r="H22" s="23">
        <f t="shared" si="4"/>
        <v>71088.241339510161</v>
      </c>
      <c r="I22" s="10">
        <f>H22/42</f>
        <v>1692.577174750242</v>
      </c>
      <c r="J22" s="9">
        <f>I22/$I$25</f>
        <v>6.2938590919484741E-2</v>
      </c>
      <c r="K22" s="56">
        <f t="shared" si="6"/>
        <v>35.516834274089412</v>
      </c>
      <c r="L22" s="75"/>
      <c r="M22" s="185"/>
    </row>
    <row r="23" spans="1:13" ht="17.399999999999999" x14ac:dyDescent="0.3">
      <c r="A23" s="75"/>
      <c r="B23" s="162">
        <v>6</v>
      </c>
      <c r="C23" s="170" t="s">
        <v>35</v>
      </c>
      <c r="D23" s="50">
        <v>1</v>
      </c>
      <c r="E23" s="44">
        <f t="shared" si="2"/>
        <v>0.36157182685871797</v>
      </c>
      <c r="F23" s="11">
        <f t="shared" si="3"/>
        <v>72314.365371743595</v>
      </c>
      <c r="G23" s="12">
        <v>0.99</v>
      </c>
      <c r="H23" s="22">
        <f t="shared" si="4"/>
        <v>71591.221718026165</v>
      </c>
      <c r="I23" s="13">
        <f t="shared" si="5"/>
        <v>1704.552898048242</v>
      </c>
      <c r="J23" s="14">
        <f>I23/$I$25</f>
        <v>6.3383908959253887E-2</v>
      </c>
      <c r="K23" s="57">
        <f t="shared" si="6"/>
        <v>39.780132390996144</v>
      </c>
      <c r="L23" s="75"/>
      <c r="M23" s="185"/>
    </row>
    <row r="24" spans="1:13" ht="18" thickBot="1" x14ac:dyDescent="0.35">
      <c r="A24" s="75"/>
      <c r="B24" s="162">
        <v>7</v>
      </c>
      <c r="C24" s="161" t="s">
        <v>26</v>
      </c>
      <c r="D24" s="53">
        <v>0.8</v>
      </c>
      <c r="E24" s="151"/>
      <c r="F24" s="152"/>
      <c r="G24" s="153"/>
      <c r="H24" s="154"/>
      <c r="I24" s="200"/>
      <c r="J24" s="155"/>
      <c r="K24" s="156"/>
      <c r="L24" s="75"/>
      <c r="M24" s="185"/>
    </row>
    <row r="25" spans="1:13" ht="18" thickBot="1" x14ac:dyDescent="0.35">
      <c r="A25" s="75"/>
      <c r="B25" s="163">
        <v>8</v>
      </c>
      <c r="C25" s="237" t="s">
        <v>86</v>
      </c>
      <c r="D25" s="51">
        <f>SUM(D18:D24)</f>
        <v>99.999999999999986</v>
      </c>
      <c r="E25" s="74">
        <f>SUM(E18:E23)</f>
        <v>19.146660447662864</v>
      </c>
      <c r="F25" s="61">
        <f>SUM(F18:F23)</f>
        <v>3829332.0895325732</v>
      </c>
      <c r="G25" s="52"/>
      <c r="H25" s="198">
        <f>SUM(H19:H23)</f>
        <v>1129485.7463595108</v>
      </c>
      <c r="I25" s="83">
        <f>SUM(I19:I23)</f>
        <v>26892.517770464547</v>
      </c>
      <c r="J25" s="199">
        <f>I25/$I$25</f>
        <v>1</v>
      </c>
      <c r="K25" s="83">
        <f>SUM(K18:K23)</f>
        <v>1258.0395251052751</v>
      </c>
      <c r="L25" s="75"/>
      <c r="M25" s="204"/>
    </row>
    <row r="26" spans="1:13" ht="18" thickBot="1" x14ac:dyDescent="0.35">
      <c r="A26" s="75"/>
      <c r="B26" s="164">
        <v>9</v>
      </c>
      <c r="C26" s="171"/>
      <c r="D26" s="159"/>
      <c r="E26" s="58" t="s">
        <v>12</v>
      </c>
      <c r="F26" s="59"/>
      <c r="G26" s="82">
        <v>200</v>
      </c>
      <c r="H26" s="197">
        <f>SUM(F19:F23)/(G26*1000)</f>
        <v>6.024583511207382</v>
      </c>
      <c r="I26" s="197">
        <f>H25/($G$26*1000)</f>
        <v>5.6474287317975538</v>
      </c>
      <c r="J26" s="157"/>
      <c r="K26" s="158"/>
      <c r="L26" s="75"/>
      <c r="M26" s="205"/>
    </row>
    <row r="27" spans="1:13" ht="17.399999999999999" customHeight="1" x14ac:dyDescent="0.25">
      <c r="A27" s="75"/>
      <c r="B27" s="75"/>
      <c r="C27" s="75"/>
      <c r="D27" s="75"/>
      <c r="E27" s="75"/>
      <c r="F27" s="75"/>
      <c r="G27" s="75"/>
      <c r="H27" s="47"/>
      <c r="I27" s="47"/>
      <c r="J27" s="47"/>
      <c r="K27" s="75"/>
      <c r="L27" s="75"/>
      <c r="M27" s="75"/>
    </row>
    <row r="28" spans="1:13" ht="17.399999999999999" customHeight="1" thickBot="1" x14ac:dyDescent="0.3">
      <c r="A28" s="75"/>
      <c r="B28" s="75"/>
      <c r="C28" s="75"/>
      <c r="D28" s="75"/>
      <c r="E28" s="75"/>
      <c r="F28" s="75"/>
      <c r="G28" s="75"/>
      <c r="H28" s="47"/>
      <c r="I28" s="47"/>
      <c r="J28" s="47"/>
      <c r="K28" s="75"/>
      <c r="L28" s="75"/>
      <c r="M28" s="75"/>
    </row>
    <row r="29" spans="1:13" ht="17.399999999999999" customHeight="1" x14ac:dyDescent="0.3">
      <c r="A29" s="75"/>
      <c r="B29" s="243"/>
      <c r="C29" s="121" t="s">
        <v>61</v>
      </c>
      <c r="D29" s="293" t="s">
        <v>56</v>
      </c>
      <c r="E29" s="293"/>
      <c r="F29" s="293"/>
      <c r="G29" s="293"/>
      <c r="H29" s="293"/>
      <c r="I29" s="293"/>
      <c r="J29" s="293"/>
      <c r="K29" s="293"/>
      <c r="L29" s="294"/>
      <c r="M29" s="75"/>
    </row>
    <row r="30" spans="1:13" ht="17.399999999999999" customHeight="1" thickBot="1" x14ac:dyDescent="0.35">
      <c r="A30" s="75"/>
      <c r="B30" s="244"/>
      <c r="C30" s="239"/>
      <c r="D30" s="126" t="s">
        <v>59</v>
      </c>
      <c r="E30" s="126" t="s">
        <v>70</v>
      </c>
      <c r="F30" s="126" t="s">
        <v>71</v>
      </c>
      <c r="G30" s="126" t="s">
        <v>72</v>
      </c>
      <c r="H30" s="126" t="s">
        <v>73</v>
      </c>
      <c r="I30" s="127" t="s">
        <v>74</v>
      </c>
      <c r="J30" s="150" t="s">
        <v>75</v>
      </c>
      <c r="K30" s="166" t="s">
        <v>76</v>
      </c>
      <c r="L30" s="167" t="s">
        <v>77</v>
      </c>
      <c r="M30" s="75"/>
    </row>
    <row r="31" spans="1:13" ht="17.399999999999999" customHeight="1" x14ac:dyDescent="0.3">
      <c r="A31" s="75"/>
      <c r="B31" s="244"/>
      <c r="C31" s="240"/>
      <c r="D31" s="130" t="s">
        <v>36</v>
      </c>
      <c r="E31" s="128" t="s">
        <v>37</v>
      </c>
      <c r="F31" s="128" t="s">
        <v>63</v>
      </c>
      <c r="G31" s="134" t="s">
        <v>36</v>
      </c>
      <c r="H31" s="134" t="s">
        <v>37</v>
      </c>
      <c r="I31" s="176" t="s">
        <v>67</v>
      </c>
      <c r="J31" s="80"/>
      <c r="K31" s="295" t="s">
        <v>47</v>
      </c>
      <c r="L31" s="306"/>
      <c r="M31" s="75"/>
    </row>
    <row r="32" spans="1:13" ht="17.399999999999999" customHeight="1" thickBot="1" x14ac:dyDescent="0.35">
      <c r="A32" s="75"/>
      <c r="B32" s="244"/>
      <c r="C32" s="241" t="s">
        <v>25</v>
      </c>
      <c r="D32" s="144" t="s">
        <v>7</v>
      </c>
      <c r="E32" s="145" t="s">
        <v>38</v>
      </c>
      <c r="F32" s="145" t="s">
        <v>64</v>
      </c>
      <c r="G32" s="146" t="s">
        <v>1</v>
      </c>
      <c r="H32" s="146" t="s">
        <v>66</v>
      </c>
      <c r="I32" s="177" t="s">
        <v>68</v>
      </c>
      <c r="J32" s="73"/>
      <c r="K32" s="97" t="s">
        <v>45</v>
      </c>
      <c r="L32" s="138" t="s">
        <v>46</v>
      </c>
      <c r="M32" s="75"/>
    </row>
    <row r="33" spans="1:16" ht="17.399999999999999" customHeight="1" x14ac:dyDescent="0.3">
      <c r="A33" s="75"/>
      <c r="B33" s="161">
        <v>1</v>
      </c>
      <c r="C33" s="242" t="s">
        <v>20</v>
      </c>
      <c r="D33" s="142">
        <f t="shared" ref="D33:D38" si="7">F18-H18</f>
        <v>2624415.3872910966</v>
      </c>
      <c r="E33" s="136">
        <f t="shared" ref="E33:E38" si="8">(F6*D33)/1000000</f>
        <v>155.19999999999999</v>
      </c>
      <c r="F33" s="210">
        <f t="shared" ref="F33:F38" si="9">(E33/$E$39)*100</f>
        <v>98.22287479114982</v>
      </c>
      <c r="G33" s="143"/>
      <c r="H33" s="182">
        <f t="shared" ref="H33:H38" si="10">(H6*F33)/100</f>
        <v>992.05103539061327</v>
      </c>
      <c r="I33" s="178"/>
      <c r="J33" s="109" t="s">
        <v>79</v>
      </c>
      <c r="K33" s="91">
        <f>G26*1000</f>
        <v>200000</v>
      </c>
      <c r="L33" s="139">
        <f>E39*1000</f>
        <v>158007.99999999997</v>
      </c>
      <c r="M33" s="75"/>
    </row>
    <row r="34" spans="1:16" ht="17.399999999999999" customHeight="1" x14ac:dyDescent="0.3">
      <c r="A34" s="75"/>
      <c r="B34" s="161">
        <v>2</v>
      </c>
      <c r="C34" s="242" t="s">
        <v>15</v>
      </c>
      <c r="D34" s="131">
        <f t="shared" si="7"/>
        <v>70424.209843945107</v>
      </c>
      <c r="E34" s="76">
        <f t="shared" si="8"/>
        <v>2.6399999999999983</v>
      </c>
      <c r="F34" s="211">
        <f t="shared" si="9"/>
        <v>1.670801478406156</v>
      </c>
      <c r="G34" s="213">
        <f>(G7/100)*F34</f>
        <v>0.44570028001079143</v>
      </c>
      <c r="H34" s="183">
        <f t="shared" si="10"/>
        <v>29.370311351871123</v>
      </c>
      <c r="I34" s="179">
        <f>(D7*H19)/1000000</f>
        <v>41766.697404778082</v>
      </c>
      <c r="J34" s="109" t="s">
        <v>107</v>
      </c>
      <c r="K34" s="137">
        <f>K25/1000</f>
        <v>1.2580395251052752</v>
      </c>
      <c r="L34" s="140">
        <f>H39/1000</f>
        <v>1.0244875499385373</v>
      </c>
      <c r="M34" s="75"/>
    </row>
    <row r="35" spans="1:16" ht="17.399999999999999" customHeight="1" x14ac:dyDescent="0.3">
      <c r="A35" s="75"/>
      <c r="B35" s="161">
        <v>3</v>
      </c>
      <c r="C35" s="242" t="s">
        <v>16</v>
      </c>
      <c r="D35" s="131">
        <f t="shared" si="7"/>
        <v>2747.9564248106908</v>
      </c>
      <c r="E35" s="76">
        <f t="shared" si="8"/>
        <v>0.10000000000000102</v>
      </c>
      <c r="F35" s="211">
        <f t="shared" si="9"/>
        <v>6.3287934788112649E-2</v>
      </c>
      <c r="G35" s="213">
        <f>(G8/100)*F35</f>
        <v>1.7391248701399242E-2</v>
      </c>
      <c r="H35" s="183">
        <f t="shared" si="10"/>
        <v>1.5804297257396562</v>
      </c>
      <c r="I35" s="179">
        <f>(D8*H20)/1000000</f>
        <v>24722.333470362228</v>
      </c>
      <c r="J35" s="109" t="s">
        <v>98</v>
      </c>
      <c r="K35" s="91">
        <f>K33*K34</f>
        <v>251607.90502105502</v>
      </c>
      <c r="L35" s="139">
        <f>L33*L34</f>
        <v>161877.22879068836</v>
      </c>
      <c r="M35" s="75"/>
    </row>
    <row r="36" spans="1:16" ht="17.399999999999999" customHeight="1" x14ac:dyDescent="0.3">
      <c r="A36" s="75"/>
      <c r="B36" s="161">
        <v>4</v>
      </c>
      <c r="C36" s="242" t="s">
        <v>18</v>
      </c>
      <c r="D36" s="131">
        <f t="shared" si="7"/>
        <v>817.58291565871332</v>
      </c>
      <c r="E36" s="76">
        <f t="shared" si="8"/>
        <v>2.5999999999999988E-2</v>
      </c>
      <c r="F36" s="211">
        <f t="shared" si="9"/>
        <v>1.6454863044909115E-2</v>
      </c>
      <c r="G36" s="213">
        <f>(G9/100)*F36</f>
        <v>5.1743134250083122E-3</v>
      </c>
      <c r="H36" s="183">
        <f t="shared" si="10"/>
        <v>0.53269556710460575</v>
      </c>
      <c r="I36" s="179">
        <f>(D9*H21)/1000000</f>
        <v>8332.8459555393929</v>
      </c>
      <c r="J36" s="109"/>
      <c r="K36" s="92"/>
      <c r="L36" s="141"/>
      <c r="M36" s="75"/>
    </row>
    <row r="37" spans="1:16" ht="17.399999999999999" customHeight="1" x14ac:dyDescent="0.3">
      <c r="A37" s="75"/>
      <c r="B37" s="161">
        <v>5</v>
      </c>
      <c r="C37" s="242" t="s">
        <v>17</v>
      </c>
      <c r="D37" s="131">
        <f t="shared" si="7"/>
        <v>718.06304383343377</v>
      </c>
      <c r="E37" s="76">
        <f t="shared" si="8"/>
        <v>2.1999999999999929E-2</v>
      </c>
      <c r="F37" s="211">
        <f t="shared" si="9"/>
        <v>1.3923345653384597E-2</v>
      </c>
      <c r="G37" s="213">
        <f>(G10/100)*F37</f>
        <v>4.5444727091883564E-3</v>
      </c>
      <c r="H37" s="183">
        <f t="shared" si="10"/>
        <v>0.44955741828374896</v>
      </c>
      <c r="I37" s="179">
        <f>(D10*H22)/1000000</f>
        <v>7032.3331862697032</v>
      </c>
      <c r="J37" s="109" t="s">
        <v>80</v>
      </c>
      <c r="K37" s="287">
        <f>K35</f>
        <v>251607.90502105502</v>
      </c>
      <c r="L37" s="288"/>
      <c r="M37" s="75"/>
    </row>
    <row r="38" spans="1:16" ht="17.399999999999999" customHeight="1" x14ac:dyDescent="0.3">
      <c r="A38" s="75"/>
      <c r="B38" s="162">
        <v>6</v>
      </c>
      <c r="C38" s="242" t="s">
        <v>35</v>
      </c>
      <c r="D38" s="132">
        <f t="shared" si="7"/>
        <v>723.14365371743042</v>
      </c>
      <c r="E38" s="125">
        <f t="shared" si="8"/>
        <v>1.9999999999999851E-2</v>
      </c>
      <c r="F38" s="212">
        <f t="shared" si="9"/>
        <v>1.2657586957622306E-2</v>
      </c>
      <c r="G38" s="214">
        <f>(G11/100)*F38</f>
        <v>4.5766268398905793E-3</v>
      </c>
      <c r="H38" s="184">
        <f t="shared" si="10"/>
        <v>0.50352048492476142</v>
      </c>
      <c r="I38" s="179">
        <f>(D11*H23)/1000000</f>
        <v>7876.4662134172386</v>
      </c>
      <c r="J38" s="109" t="s">
        <v>81</v>
      </c>
      <c r="K38" s="289">
        <f>-I39</f>
        <v>-89730.676230366647</v>
      </c>
      <c r="L38" s="290"/>
      <c r="M38" s="75"/>
    </row>
    <row r="39" spans="1:16" ht="17.399999999999999" customHeight="1" x14ac:dyDescent="0.3">
      <c r="A39" s="75"/>
      <c r="B39" s="161">
        <v>7</v>
      </c>
      <c r="C39" s="219" t="s">
        <v>86</v>
      </c>
      <c r="D39" s="131">
        <f>SUM(D33:D38)</f>
        <v>2699846.343173062</v>
      </c>
      <c r="E39" s="76">
        <f>SUM(E33:E38)</f>
        <v>158.00799999999998</v>
      </c>
      <c r="F39" s="76">
        <f>SUM(F33:F38)</f>
        <v>100</v>
      </c>
      <c r="G39" s="135">
        <f>SUM(G34:G38)</f>
        <v>0.47738694168627788</v>
      </c>
      <c r="H39" s="183">
        <f>SUM(H33:H38)</f>
        <v>1024.4875499385373</v>
      </c>
      <c r="I39" s="180">
        <f>SUM(I34:I38)</f>
        <v>89730.676230366647</v>
      </c>
      <c r="J39" s="109" t="s">
        <v>82</v>
      </c>
      <c r="K39" s="289">
        <f>-L35</f>
        <v>-161877.22879068836</v>
      </c>
      <c r="L39" s="290"/>
      <c r="M39" s="206"/>
    </row>
    <row r="40" spans="1:16" ht="17.399999999999999" customHeight="1" thickBot="1" x14ac:dyDescent="0.35">
      <c r="A40" s="75"/>
      <c r="B40" s="164">
        <v>8</v>
      </c>
      <c r="C40" s="60"/>
      <c r="D40" s="133" t="s">
        <v>65</v>
      </c>
      <c r="E40" s="129"/>
      <c r="F40" s="87">
        <f>G26-E39</f>
        <v>41.992000000000019</v>
      </c>
      <c r="G40" s="129"/>
      <c r="H40" s="175"/>
      <c r="I40" s="181"/>
      <c r="J40" s="149" t="s">
        <v>69</v>
      </c>
      <c r="K40" s="147">
        <f>K37+K38+K39</f>
        <v>0</v>
      </c>
      <c r="L40" s="148"/>
      <c r="M40" s="207"/>
    </row>
    <row r="41" spans="1:16" ht="17.399999999999999" customHeight="1" x14ac:dyDescent="0.3">
      <c r="A41" s="75"/>
      <c r="B41" s="205"/>
      <c r="C41" s="205"/>
      <c r="D41" s="205"/>
      <c r="E41" s="215"/>
      <c r="F41" s="215"/>
      <c r="G41" s="215"/>
      <c r="H41" s="215"/>
      <c r="I41" s="216"/>
      <c r="J41" s="217"/>
      <c r="K41" s="218"/>
      <c r="L41" s="218"/>
      <c r="M41" s="207"/>
      <c r="N41" s="75"/>
    </row>
    <row r="42" spans="1:16" ht="17.399999999999999" customHeight="1" thickBot="1" x14ac:dyDescent="0.3">
      <c r="A42" s="75"/>
      <c r="B42" s="75"/>
      <c r="C42" s="75"/>
      <c r="D42" s="75"/>
      <c r="E42" s="75"/>
      <c r="F42" s="75"/>
      <c r="G42" s="75"/>
      <c r="H42" s="47"/>
      <c r="I42" s="47"/>
      <c r="J42" s="47"/>
      <c r="K42" s="75"/>
      <c r="L42" s="75"/>
      <c r="M42" s="75"/>
      <c r="N42" s="75"/>
    </row>
    <row r="43" spans="1:16" ht="17.399999999999999" customHeight="1" thickBot="1" x14ac:dyDescent="0.35">
      <c r="A43" s="75"/>
      <c r="B43" s="282"/>
      <c r="C43" s="284" t="s">
        <v>62</v>
      </c>
      <c r="D43" s="285"/>
      <c r="E43" s="285"/>
      <c r="F43" s="118" t="s">
        <v>100</v>
      </c>
      <c r="G43" s="119"/>
      <c r="H43" s="119"/>
      <c r="I43" s="119"/>
      <c r="J43" s="119"/>
      <c r="K43" s="119"/>
      <c r="L43" s="286"/>
      <c r="M43" s="208"/>
    </row>
    <row r="44" spans="1:16" ht="17.399999999999999" customHeight="1" thickBot="1" x14ac:dyDescent="0.35">
      <c r="A44" s="75"/>
      <c r="B44" s="283"/>
      <c r="C44" s="116"/>
      <c r="D44" s="84" t="s">
        <v>50</v>
      </c>
      <c r="E44" s="85" t="s">
        <v>51</v>
      </c>
      <c r="F44" s="85" t="s">
        <v>52</v>
      </c>
      <c r="G44" s="85" t="s">
        <v>53</v>
      </c>
      <c r="H44" s="85" t="s">
        <v>54</v>
      </c>
      <c r="I44" s="85" t="s">
        <v>55</v>
      </c>
      <c r="J44" s="111" t="s">
        <v>57</v>
      </c>
      <c r="K44" s="111" t="s">
        <v>58</v>
      </c>
      <c r="L44" s="86" t="s">
        <v>59</v>
      </c>
      <c r="M44" s="75"/>
    </row>
    <row r="45" spans="1:16" ht="17.399999999999999" customHeight="1" x14ac:dyDescent="0.3">
      <c r="A45" s="75"/>
      <c r="B45" s="283"/>
      <c r="C45" s="168"/>
      <c r="D45" s="297" t="s">
        <v>44</v>
      </c>
      <c r="E45" s="298"/>
      <c r="F45" s="298"/>
      <c r="G45" s="299"/>
      <c r="H45" s="105" t="s">
        <v>42</v>
      </c>
      <c r="I45" s="80"/>
      <c r="J45" s="295" t="s">
        <v>47</v>
      </c>
      <c r="K45" s="296"/>
      <c r="L45" s="96" t="s">
        <v>97</v>
      </c>
      <c r="M45" s="75"/>
    </row>
    <row r="46" spans="1:16" ht="17.399999999999999" customHeight="1" thickBot="1" x14ac:dyDescent="0.4">
      <c r="A46" s="75"/>
      <c r="B46" s="283"/>
      <c r="C46" s="169" t="s">
        <v>25</v>
      </c>
      <c r="D46" s="172" t="s">
        <v>41</v>
      </c>
      <c r="E46" s="100" t="s">
        <v>39</v>
      </c>
      <c r="F46" s="101" t="s">
        <v>49</v>
      </c>
      <c r="G46" s="100" t="s">
        <v>40</v>
      </c>
      <c r="H46" s="106" t="s">
        <v>43</v>
      </c>
      <c r="I46" s="73"/>
      <c r="J46" s="97" t="s">
        <v>45</v>
      </c>
      <c r="K46" s="98" t="s">
        <v>46</v>
      </c>
      <c r="L46" s="99" t="s">
        <v>48</v>
      </c>
      <c r="M46" s="209"/>
      <c r="P46" s="255"/>
    </row>
    <row r="47" spans="1:16" ht="17.399999999999999" customHeight="1" x14ac:dyDescent="0.3">
      <c r="A47" s="75"/>
      <c r="B47" s="113">
        <v>1</v>
      </c>
      <c r="C47" s="170" t="s">
        <v>20</v>
      </c>
      <c r="D47" s="253">
        <v>3.5659999999999998</v>
      </c>
      <c r="E47" s="261"/>
      <c r="F47" s="250">
        <v>10</v>
      </c>
      <c r="G47" s="95"/>
      <c r="H47" s="107"/>
      <c r="I47" s="109" t="s">
        <v>79</v>
      </c>
      <c r="J47" s="91">
        <f>G26*1000</f>
        <v>200000</v>
      </c>
      <c r="K47" s="78">
        <f>E39*1000</f>
        <v>158007.99999999997</v>
      </c>
      <c r="L47" s="103"/>
      <c r="M47" s="209"/>
    </row>
    <row r="48" spans="1:16" ht="17.399999999999999" customHeight="1" x14ac:dyDescent="0.35">
      <c r="A48" s="75"/>
      <c r="B48" s="113">
        <v>2</v>
      </c>
      <c r="C48" s="170" t="s">
        <v>15</v>
      </c>
      <c r="D48" s="173">
        <f>(E48/D7)*10000</f>
        <v>3.7653459186305902</v>
      </c>
      <c r="E48" s="251">
        <v>24.8125</v>
      </c>
      <c r="F48" s="102">
        <f>E48-$F$47</f>
        <v>14.8125</v>
      </c>
      <c r="G48" s="88">
        <f>F48/100</f>
        <v>0.14812500000000001</v>
      </c>
      <c r="H48" s="108">
        <f>H19*G48</f>
        <v>93884.274748209398</v>
      </c>
      <c r="I48" s="109" t="s">
        <v>107</v>
      </c>
      <c r="J48" s="114">
        <f>K25/1000</f>
        <v>1.2580395251052752</v>
      </c>
      <c r="K48" s="115">
        <f>H39/1000</f>
        <v>1.0244875499385373</v>
      </c>
      <c r="L48" s="104"/>
      <c r="M48" s="209"/>
      <c r="P48" s="255"/>
    </row>
    <row r="49" spans="1:17" ht="17.399999999999999" customHeight="1" x14ac:dyDescent="0.3">
      <c r="A49" s="75"/>
      <c r="B49" s="113">
        <v>3</v>
      </c>
      <c r="C49" s="170" t="s">
        <v>16</v>
      </c>
      <c r="D49" s="173">
        <f>(E49/D8)*10000</f>
        <v>9.0508940852819819</v>
      </c>
      <c r="E49" s="252">
        <v>82.25</v>
      </c>
      <c r="F49" s="102">
        <f>E49-$F$47</f>
        <v>72.25</v>
      </c>
      <c r="G49" s="88">
        <f>F49/100</f>
        <v>0.72250000000000003</v>
      </c>
      <c r="H49" s="108">
        <f>H20*G49</f>
        <v>196554.45317564468</v>
      </c>
      <c r="I49" s="109" t="s">
        <v>98</v>
      </c>
      <c r="J49" s="91">
        <f>J47*J48</f>
        <v>251607.90502105502</v>
      </c>
      <c r="K49" s="78">
        <f>K47*K48</f>
        <v>161877.22879068836</v>
      </c>
      <c r="L49" s="104"/>
      <c r="M49" s="209"/>
      <c r="P49" s="254"/>
    </row>
    <row r="50" spans="1:17" ht="17.399999999999999" customHeight="1" x14ac:dyDescent="0.3">
      <c r="A50" s="75"/>
      <c r="B50" s="113">
        <v>4</v>
      </c>
      <c r="C50" s="170" t="s">
        <v>18</v>
      </c>
      <c r="D50" s="173">
        <f>(E50/D9)*10000</f>
        <v>15.905779504613889</v>
      </c>
      <c r="E50" s="252">
        <v>163.75</v>
      </c>
      <c r="F50" s="102">
        <f>E50-$F$47</f>
        <v>153.75</v>
      </c>
      <c r="G50" s="88">
        <f>F50/100</f>
        <v>1.5375000000000001</v>
      </c>
      <c r="H50" s="108">
        <f>H21*G50</f>
        <v>124446.33954970195</v>
      </c>
      <c r="I50" s="109" t="s">
        <v>99</v>
      </c>
      <c r="J50" s="92">
        <f>D47</f>
        <v>3.5659999999999998</v>
      </c>
      <c r="K50" s="90">
        <f>J50</f>
        <v>3.5659999999999998</v>
      </c>
      <c r="L50" s="104"/>
      <c r="M50" s="209"/>
    </row>
    <row r="51" spans="1:17" ht="17.399999999999999" customHeight="1" x14ac:dyDescent="0.3">
      <c r="A51" s="75"/>
      <c r="B51" s="113">
        <v>5</v>
      </c>
      <c r="C51" s="170" t="s">
        <v>17</v>
      </c>
      <c r="D51" s="173">
        <f>(E51/D10)*10000</f>
        <v>17.873569608992764</v>
      </c>
      <c r="E51" s="252">
        <v>176.8125</v>
      </c>
      <c r="F51" s="102">
        <f>E51-$F$47</f>
        <v>166.8125</v>
      </c>
      <c r="G51" s="88">
        <f>F51/100</f>
        <v>1.6681250000000001</v>
      </c>
      <c r="H51" s="108">
        <f>H22*G51</f>
        <v>118584.0725844704</v>
      </c>
      <c r="I51" s="110" t="s">
        <v>83</v>
      </c>
      <c r="J51" s="93">
        <f>J49*J50</f>
        <v>897233.78930508217</v>
      </c>
      <c r="K51" s="89">
        <f>K49*K50</f>
        <v>577254.19786759466</v>
      </c>
      <c r="L51" s="104"/>
      <c r="M51" s="209"/>
      <c r="O51"/>
      <c r="P51"/>
      <c r="Q51"/>
    </row>
    <row r="52" spans="1:17" ht="17.399999999999999" customHeight="1" thickBot="1" x14ac:dyDescent="0.35">
      <c r="A52" s="75"/>
      <c r="B52" s="274">
        <v>6</v>
      </c>
      <c r="C52" s="170" t="s">
        <v>35</v>
      </c>
      <c r="D52" s="173">
        <f>(E52/D11)*10000</f>
        <v>19.496455189965459</v>
      </c>
      <c r="E52" s="252">
        <v>214.5</v>
      </c>
      <c r="F52" s="102">
        <f>E52-$F$47</f>
        <v>204.5</v>
      </c>
      <c r="G52" s="88">
        <f>F52/100</f>
        <v>2.0449999999999999</v>
      </c>
      <c r="H52" s="108">
        <f>H23*G52</f>
        <v>146404.04841336349</v>
      </c>
      <c r="I52" s="109"/>
      <c r="J52" s="94"/>
      <c r="K52" s="79"/>
      <c r="L52" s="104"/>
      <c r="M52" s="209"/>
      <c r="O52"/>
      <c r="P52"/>
      <c r="Q52"/>
    </row>
    <row r="53" spans="1:17" ht="17.399999999999999" customHeight="1" thickBot="1" x14ac:dyDescent="0.35">
      <c r="A53" s="75"/>
      <c r="B53" s="275">
        <v>7</v>
      </c>
      <c r="C53" s="276" t="s">
        <v>86</v>
      </c>
      <c r="D53" s="266"/>
      <c r="E53" s="277"/>
      <c r="F53" s="265"/>
      <c r="G53" s="266"/>
      <c r="H53" s="267">
        <f>SUM(H48:H52)</f>
        <v>679873.18847138993</v>
      </c>
      <c r="I53" s="268"/>
      <c r="J53" s="269">
        <f>-J51</f>
        <v>-897233.78930508217</v>
      </c>
      <c r="K53" s="270">
        <f>K51</f>
        <v>577254.19786759466</v>
      </c>
      <c r="L53" s="124">
        <f>H53+J53+K53</f>
        <v>359893.59703390242</v>
      </c>
      <c r="M53" s="75"/>
      <c r="O53"/>
      <c r="P53"/>
      <c r="Q53"/>
    </row>
    <row r="54" spans="1:17" ht="17.399999999999999" customHeight="1" thickBot="1" x14ac:dyDescent="0.35">
      <c r="A54" s="75"/>
      <c r="B54" s="263">
        <v>8</v>
      </c>
      <c r="C54" s="291" t="s">
        <v>108</v>
      </c>
      <c r="D54" s="292"/>
      <c r="E54" s="264">
        <f>(E48-F47)/D7 * 10000</f>
        <v>2.2478261529356423</v>
      </c>
      <c r="F54" s="271"/>
      <c r="G54" s="272"/>
      <c r="H54" s="273"/>
      <c r="I54" s="273"/>
      <c r="J54" s="273"/>
      <c r="K54" s="272"/>
      <c r="L54" s="236"/>
      <c r="M54" s="75"/>
      <c r="O54"/>
      <c r="P54"/>
      <c r="Q54"/>
    </row>
    <row r="55" spans="1:17" x14ac:dyDescent="0.25">
      <c r="A55" s="75"/>
      <c r="B55" s="75"/>
      <c r="C55" s="75"/>
      <c r="D55" s="75"/>
      <c r="E55" s="75"/>
      <c r="F55" s="75"/>
      <c r="G55" s="75"/>
      <c r="H55" s="47"/>
      <c r="I55" s="47"/>
      <c r="J55" s="47"/>
      <c r="K55" s="75"/>
      <c r="L55" s="75"/>
      <c r="M55" s="75"/>
    </row>
    <row r="56" spans="1:17" x14ac:dyDescent="0.25">
      <c r="A56" s="75"/>
      <c r="B56" s="75"/>
      <c r="C56" s="75"/>
      <c r="D56" s="75"/>
      <c r="E56" s="75"/>
      <c r="F56" s="75"/>
      <c r="G56" s="75"/>
      <c r="H56" s="47"/>
      <c r="I56" s="47"/>
      <c r="J56" s="47"/>
      <c r="K56" s="75"/>
      <c r="L56" s="75"/>
      <c r="M56" s="75"/>
    </row>
    <row r="60" spans="1:17" x14ac:dyDescent="0.25">
      <c r="K60" s="195"/>
    </row>
    <row r="61" spans="1:17" ht="17.399999999999999" x14ac:dyDescent="0.3">
      <c r="K61" s="257"/>
    </row>
    <row r="1000" spans="52:52" customFormat="1" x14ac:dyDescent="0.25">
      <c r="AZ1000" t="s">
        <v>87</v>
      </c>
    </row>
    <row r="1001" spans="52:52" customFormat="1" x14ac:dyDescent="0.25">
      <c r="AZ1001" s="245">
        <v>41288</v>
      </c>
    </row>
    <row r="1002" spans="52:52" customFormat="1" x14ac:dyDescent="0.25">
      <c r="AZ1002" t="s">
        <v>88</v>
      </c>
    </row>
    <row r="1003" spans="52:52" customFormat="1" x14ac:dyDescent="0.25">
      <c r="AZ1003" t="s">
        <v>89</v>
      </c>
    </row>
    <row r="1004" spans="52:52" customFormat="1" x14ac:dyDescent="0.25">
      <c r="AZ1004" t="s">
        <v>90</v>
      </c>
    </row>
    <row r="1005" spans="52:52" customFormat="1" x14ac:dyDescent="0.25">
      <c r="AZ1005" t="s">
        <v>91</v>
      </c>
    </row>
    <row r="1006" spans="52:52" customFormat="1" x14ac:dyDescent="0.25">
      <c r="AZ1006" t="s">
        <v>92</v>
      </c>
    </row>
    <row r="1007" spans="52:52" customFormat="1" x14ac:dyDescent="0.25">
      <c r="AZ1007" t="s">
        <v>93</v>
      </c>
    </row>
    <row r="1008" spans="52:52" customFormat="1" x14ac:dyDescent="0.25">
      <c r="AZ1008" t="s">
        <v>94</v>
      </c>
    </row>
  </sheetData>
  <mergeCells count="12">
    <mergeCell ref="D2:H2"/>
    <mergeCell ref="D14:K14"/>
    <mergeCell ref="E4:E5"/>
    <mergeCell ref="G4:G5"/>
    <mergeCell ref="K31:L31"/>
    <mergeCell ref="K37:L37"/>
    <mergeCell ref="K38:L38"/>
    <mergeCell ref="K39:L39"/>
    <mergeCell ref="C54:D54"/>
    <mergeCell ref="D29:L29"/>
    <mergeCell ref="J45:K45"/>
    <mergeCell ref="D45:G45"/>
  </mergeCells>
  <conditionalFormatting sqref="E54">
    <cfRule type="cellIs" dxfId="3" priority="1" stopIfTrue="1" operator="lessThan">
      <formula>$D$47</formula>
    </cfRule>
  </conditionalFormatting>
  <hyperlinks>
    <hyperlink ref="J10" r:id="rId1"/>
  </hyperlinks>
  <pageMargins left="0.7" right="0.7" top="0.75" bottom="0.75" header="0.3" footer="0.3"/>
  <pageSetup orientation="portrait" r:id="rId2"/>
  <ignoredErrors>
    <ignoredError sqref="J50:K50 G39:H39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8"/>
  <sheetViews>
    <sheetView tabSelected="1" zoomScale="50" zoomScaleNormal="50" workbookViewId="0">
      <selection activeCell="X35" sqref="X35"/>
    </sheetView>
  </sheetViews>
  <sheetFormatPr defaultRowHeight="13.2" x14ac:dyDescent="0.25"/>
  <cols>
    <col min="1" max="1" width="4.21875" customWidth="1"/>
    <col min="2" max="2" width="4.109375" customWidth="1"/>
    <col min="3" max="3" width="20.6640625" customWidth="1"/>
    <col min="4" max="4" width="15.21875" customWidth="1"/>
    <col min="5" max="5" width="17.109375" customWidth="1"/>
    <col min="6" max="6" width="15.21875" customWidth="1"/>
    <col min="7" max="7" width="13.6640625" customWidth="1"/>
    <col min="8" max="8" width="18.33203125" style="1" customWidth="1"/>
    <col min="9" max="9" width="22.6640625" style="1" customWidth="1"/>
    <col min="10" max="10" width="23.88671875" style="1" customWidth="1"/>
    <col min="11" max="11" width="16.77734375" customWidth="1"/>
    <col min="12" max="12" width="16.88671875" customWidth="1"/>
    <col min="13" max="13" width="3.77734375" customWidth="1"/>
    <col min="14" max="14" width="8.33203125" customWidth="1"/>
    <col min="15" max="15" width="9.109375" style="2" bestFit="1" customWidth="1"/>
    <col min="16" max="16" width="10.44140625" style="2" bestFit="1" customWidth="1"/>
    <col min="17" max="17" width="4.5546875" style="1" customWidth="1"/>
    <col min="18" max="18" width="13.33203125" customWidth="1"/>
    <col min="19" max="19" width="11.44140625" customWidth="1"/>
    <col min="52" max="52" width="15.44140625" bestFit="1" customWidth="1"/>
  </cols>
  <sheetData>
    <row r="1" spans="1:17" ht="13.8" thickBot="1" x14ac:dyDescent="0.3">
      <c r="A1" s="75"/>
      <c r="B1" s="75"/>
      <c r="C1" s="75"/>
      <c r="D1" s="75"/>
      <c r="E1" s="75"/>
      <c r="F1" s="75"/>
      <c r="G1" s="75"/>
      <c r="H1" s="47"/>
      <c r="I1" s="47"/>
      <c r="J1" s="47"/>
      <c r="K1" s="75"/>
      <c r="L1" s="75"/>
      <c r="M1" s="75"/>
    </row>
    <row r="2" spans="1:17" s="75" customFormat="1" ht="17.399999999999999" x14ac:dyDescent="0.3">
      <c r="B2" s="243"/>
      <c r="C2" s="196" t="s">
        <v>84</v>
      </c>
      <c r="D2" s="293" t="s">
        <v>85</v>
      </c>
      <c r="E2" s="293"/>
      <c r="F2" s="293"/>
      <c r="G2" s="293"/>
      <c r="H2" s="294"/>
      <c r="I2" s="220"/>
      <c r="J2" s="221"/>
      <c r="K2" s="222"/>
      <c r="O2" s="48"/>
      <c r="P2" s="48"/>
      <c r="Q2" s="47"/>
    </row>
    <row r="3" spans="1:17" s="45" customFormat="1" ht="17.399999999999999" x14ac:dyDescent="0.3">
      <c r="A3" s="186"/>
      <c r="B3" s="244"/>
      <c r="C3" s="62" t="s">
        <v>27</v>
      </c>
      <c r="D3" s="63" t="s">
        <v>28</v>
      </c>
      <c r="E3" s="63" t="s">
        <v>29</v>
      </c>
      <c r="F3" s="63" t="s">
        <v>30</v>
      </c>
      <c r="G3" s="63" t="s">
        <v>31</v>
      </c>
      <c r="H3" s="64" t="s">
        <v>32</v>
      </c>
      <c r="I3" s="223"/>
      <c r="J3" s="224"/>
      <c r="K3" s="225"/>
      <c r="L3" s="186"/>
      <c r="M3" s="186"/>
    </row>
    <row r="4" spans="1:17" ht="22.8" x14ac:dyDescent="0.4">
      <c r="A4" s="75"/>
      <c r="B4" s="244"/>
      <c r="C4" s="72" t="s">
        <v>33</v>
      </c>
      <c r="D4" s="71">
        <v>379.48200000000003</v>
      </c>
      <c r="E4" s="302" t="s">
        <v>4</v>
      </c>
      <c r="F4" s="65" t="s">
        <v>23</v>
      </c>
      <c r="G4" s="304" t="s">
        <v>24</v>
      </c>
      <c r="H4" s="66" t="s">
        <v>8</v>
      </c>
      <c r="I4" s="226"/>
      <c r="J4" s="227"/>
      <c r="K4" s="228"/>
      <c r="L4" s="75"/>
      <c r="M4" s="75"/>
    </row>
    <row r="5" spans="1:17" ht="18" thickBot="1" x14ac:dyDescent="0.35">
      <c r="A5" s="75"/>
      <c r="B5" s="244"/>
      <c r="C5" s="70"/>
      <c r="D5" s="69" t="s">
        <v>11</v>
      </c>
      <c r="E5" s="303"/>
      <c r="F5" s="67" t="s">
        <v>22</v>
      </c>
      <c r="G5" s="305"/>
      <c r="H5" s="68" t="s">
        <v>9</v>
      </c>
      <c r="I5" s="229"/>
      <c r="J5" s="230"/>
      <c r="K5" s="228"/>
      <c r="L5" s="75"/>
      <c r="M5" s="75"/>
    </row>
    <row r="6" spans="1:17" ht="17.399999999999999" x14ac:dyDescent="0.3">
      <c r="A6" s="75"/>
      <c r="B6" s="161">
        <v>1</v>
      </c>
      <c r="C6" s="24" t="s">
        <v>20</v>
      </c>
      <c r="D6" s="26"/>
      <c r="E6" s="19">
        <v>6.4169999999999998</v>
      </c>
      <c r="F6" s="20">
        <f t="shared" ref="F6:F11" si="0">$D$4/E6</f>
        <v>59.136979897148208</v>
      </c>
      <c r="G6" s="6">
        <f t="shared" ref="G6:G11" si="1">(E6/$D$4)*1000</f>
        <v>16.90989295934985</v>
      </c>
      <c r="H6" s="21">
        <v>1010</v>
      </c>
      <c r="I6" s="223"/>
      <c r="J6" s="231"/>
      <c r="K6" s="232"/>
      <c r="L6" s="187"/>
      <c r="M6" s="201"/>
    </row>
    <row r="7" spans="1:17" ht="17.399999999999999" x14ac:dyDescent="0.3">
      <c r="A7" s="75"/>
      <c r="B7" s="161">
        <v>2</v>
      </c>
      <c r="C7" s="24" t="s">
        <v>15</v>
      </c>
      <c r="D7" s="27">
        <v>65897</v>
      </c>
      <c r="E7" s="5">
        <v>10.122999999999999</v>
      </c>
      <c r="F7" s="6">
        <f t="shared" si="0"/>
        <v>37.487108564654754</v>
      </c>
      <c r="G7" s="6">
        <f t="shared" si="1"/>
        <v>26.675837062100438</v>
      </c>
      <c r="H7" s="15">
        <f>D7/F7</f>
        <v>1757.8576348812326</v>
      </c>
      <c r="I7" s="223"/>
      <c r="J7" s="233"/>
      <c r="K7" s="228"/>
      <c r="L7" s="75"/>
      <c r="M7" s="75"/>
      <c r="N7" s="4"/>
    </row>
    <row r="8" spans="1:17" ht="17.399999999999999" x14ac:dyDescent="0.3">
      <c r="A8" s="75"/>
      <c r="B8" s="161">
        <v>3</v>
      </c>
      <c r="C8" s="24" t="s">
        <v>16</v>
      </c>
      <c r="D8" s="27">
        <v>90875</v>
      </c>
      <c r="E8" s="5">
        <v>10.428000000000001</v>
      </c>
      <c r="F8" s="6">
        <f t="shared" si="0"/>
        <v>36.390678941311855</v>
      </c>
      <c r="G8" s="6">
        <f t="shared" si="1"/>
        <v>27.47956424810663</v>
      </c>
      <c r="H8" s="15">
        <f>D8/F8</f>
        <v>2497.20540104669</v>
      </c>
      <c r="I8" s="226"/>
      <c r="J8" s="246" t="s">
        <v>95</v>
      </c>
      <c r="K8" s="228"/>
      <c r="L8" s="188"/>
      <c r="M8" s="75"/>
      <c r="N8" s="4"/>
    </row>
    <row r="9" spans="1:17" ht="17.399999999999999" x14ac:dyDescent="0.3">
      <c r="A9" s="75"/>
      <c r="B9" s="161">
        <v>4</v>
      </c>
      <c r="C9" s="24" t="s">
        <v>18</v>
      </c>
      <c r="D9" s="27">
        <v>102950</v>
      </c>
      <c r="E9" s="5">
        <v>11.933</v>
      </c>
      <c r="F9" s="6">
        <f t="shared" si="0"/>
        <v>31.801055895416077</v>
      </c>
      <c r="G9" s="6">
        <f t="shared" si="1"/>
        <v>31.445496756104369</v>
      </c>
      <c r="H9" s="15">
        <f>D9/F9</f>
        <v>3237.3138910409448</v>
      </c>
      <c r="I9" s="223"/>
      <c r="J9" s="247">
        <v>41295</v>
      </c>
      <c r="K9" s="228"/>
      <c r="L9" s="75"/>
      <c r="M9" s="75"/>
      <c r="N9" s="4"/>
    </row>
    <row r="10" spans="1:17" ht="17.399999999999999" x14ac:dyDescent="0.3">
      <c r="A10" s="75"/>
      <c r="B10" s="161">
        <v>5</v>
      </c>
      <c r="C10" s="24" t="s">
        <v>17</v>
      </c>
      <c r="D10" s="27">
        <v>98924</v>
      </c>
      <c r="E10" s="5">
        <v>12.385999999999999</v>
      </c>
      <c r="F10" s="6">
        <f t="shared" si="0"/>
        <v>30.637978362667532</v>
      </c>
      <c r="G10" s="6">
        <f t="shared" si="1"/>
        <v>32.639229265156182</v>
      </c>
      <c r="H10" s="15">
        <f>D10/F10</f>
        <v>3228.8031158263102</v>
      </c>
      <c r="I10" s="223"/>
      <c r="J10" s="248" t="s">
        <v>96</v>
      </c>
      <c r="K10" s="228"/>
      <c r="L10" s="189"/>
      <c r="M10" s="189"/>
      <c r="N10" s="4"/>
    </row>
    <row r="11" spans="1:17" ht="18" thickBot="1" x14ac:dyDescent="0.35">
      <c r="A11" s="75"/>
      <c r="B11" s="165">
        <v>6</v>
      </c>
      <c r="C11" s="25" t="s">
        <v>19</v>
      </c>
      <c r="D11" s="28">
        <v>110020</v>
      </c>
      <c r="E11" s="16">
        <v>13.721</v>
      </c>
      <c r="F11" s="17">
        <f t="shared" si="0"/>
        <v>27.657022082938564</v>
      </c>
      <c r="G11" s="17">
        <f t="shared" si="1"/>
        <v>36.157182685871796</v>
      </c>
      <c r="H11" s="18">
        <f>D11/F11</f>
        <v>3978.0132390996146</v>
      </c>
      <c r="I11" s="234"/>
      <c r="J11" s="235"/>
      <c r="K11" s="236"/>
      <c r="L11" s="75"/>
      <c r="M11" s="75"/>
      <c r="N11" s="4"/>
    </row>
    <row r="12" spans="1:17" ht="17.399999999999999" x14ac:dyDescent="0.3">
      <c r="A12" s="75"/>
      <c r="B12" s="75"/>
      <c r="C12" s="192"/>
      <c r="D12" s="185"/>
      <c r="E12" s="193"/>
      <c r="F12" s="194"/>
      <c r="G12" s="194"/>
      <c r="H12" s="185"/>
      <c r="I12" s="185"/>
      <c r="J12" s="195"/>
      <c r="K12" s="75"/>
      <c r="L12" s="190"/>
      <c r="M12" s="189"/>
      <c r="N12" s="4"/>
    </row>
    <row r="13" spans="1:17" ht="13.8" thickBot="1" x14ac:dyDescent="0.3">
      <c r="A13" s="75"/>
      <c r="B13" s="75"/>
      <c r="C13" s="75"/>
      <c r="D13" s="47">
        <v>1</v>
      </c>
      <c r="E13" s="47">
        <v>2</v>
      </c>
      <c r="F13" s="47">
        <v>3</v>
      </c>
      <c r="G13" s="47">
        <v>4</v>
      </c>
      <c r="H13" s="47">
        <v>5</v>
      </c>
      <c r="I13" s="47">
        <v>6</v>
      </c>
      <c r="J13" s="47">
        <v>7</v>
      </c>
      <c r="K13" s="47">
        <v>8</v>
      </c>
      <c r="L13" s="191"/>
      <c r="M13" s="75"/>
      <c r="N13" s="3"/>
    </row>
    <row r="14" spans="1:17" ht="17.399999999999999" x14ac:dyDescent="0.3">
      <c r="A14" s="75"/>
      <c r="B14" s="243"/>
      <c r="C14" s="238" t="s">
        <v>60</v>
      </c>
      <c r="D14" s="300" t="s">
        <v>104</v>
      </c>
      <c r="E14" s="300"/>
      <c r="F14" s="300"/>
      <c r="G14" s="300"/>
      <c r="H14" s="300"/>
      <c r="I14" s="300"/>
      <c r="J14" s="300"/>
      <c r="K14" s="301"/>
      <c r="L14" s="174"/>
      <c r="M14" s="174"/>
    </row>
    <row r="15" spans="1:17" ht="18" thickBot="1" x14ac:dyDescent="0.35">
      <c r="A15" s="75"/>
      <c r="B15" s="244"/>
      <c r="C15" s="160"/>
      <c r="D15" s="84" t="s">
        <v>50</v>
      </c>
      <c r="E15" s="85" t="s">
        <v>51</v>
      </c>
      <c r="F15" s="85" t="s">
        <v>52</v>
      </c>
      <c r="G15" s="85" t="s">
        <v>53</v>
      </c>
      <c r="H15" s="85" t="s">
        <v>54</v>
      </c>
      <c r="I15" s="85" t="s">
        <v>55</v>
      </c>
      <c r="J15" s="85" t="s">
        <v>57</v>
      </c>
      <c r="K15" s="86" t="s">
        <v>58</v>
      </c>
      <c r="L15" s="191"/>
      <c r="M15" s="202"/>
    </row>
    <row r="16" spans="1:17" ht="17.399999999999999" x14ac:dyDescent="0.3">
      <c r="A16" s="75"/>
      <c r="B16" s="244"/>
      <c r="C16" s="168"/>
      <c r="D16" s="81"/>
      <c r="E16" s="122" t="s">
        <v>0</v>
      </c>
      <c r="F16" s="249"/>
      <c r="G16" s="32" t="s">
        <v>5</v>
      </c>
      <c r="H16" s="33" t="s">
        <v>13</v>
      </c>
      <c r="I16" s="34" t="s">
        <v>13</v>
      </c>
      <c r="J16" s="35" t="s">
        <v>21</v>
      </c>
      <c r="K16" s="36" t="s">
        <v>10</v>
      </c>
      <c r="L16" s="191"/>
      <c r="M16" s="203"/>
    </row>
    <row r="17" spans="1:13" ht="18" thickBot="1" x14ac:dyDescent="0.35">
      <c r="A17" s="75"/>
      <c r="B17" s="244"/>
      <c r="C17" s="169" t="s">
        <v>25</v>
      </c>
      <c r="D17" s="54" t="s">
        <v>3</v>
      </c>
      <c r="E17" s="37" t="s">
        <v>1</v>
      </c>
      <c r="F17" s="38" t="s">
        <v>2</v>
      </c>
      <c r="G17" s="39" t="s">
        <v>6</v>
      </c>
      <c r="H17" s="40" t="s">
        <v>7</v>
      </c>
      <c r="I17" s="41" t="s">
        <v>14</v>
      </c>
      <c r="J17" s="42" t="s">
        <v>13</v>
      </c>
      <c r="K17" s="43" t="s">
        <v>34</v>
      </c>
      <c r="L17" s="75"/>
      <c r="M17" s="203"/>
    </row>
    <row r="18" spans="1:13" ht="17.399999999999999" x14ac:dyDescent="0.3">
      <c r="A18" s="75"/>
      <c r="B18" s="161">
        <v>1</v>
      </c>
      <c r="C18" s="170" t="s">
        <v>20</v>
      </c>
      <c r="D18" s="49">
        <v>77.599999999999994</v>
      </c>
      <c r="E18" s="44">
        <f t="shared" ref="E18:E23" si="2">G6*D18/100</f>
        <v>13.122076936455482</v>
      </c>
      <c r="F18" s="7">
        <f t="shared" ref="F18:F23" si="3">(E18*$G$26)*1000</f>
        <v>2624415.3872910966</v>
      </c>
      <c r="G18" s="29">
        <v>0</v>
      </c>
      <c r="H18" s="30">
        <f t="shared" ref="H18:H23" si="4">G18*F18</f>
        <v>0</v>
      </c>
      <c r="I18" s="31">
        <f t="shared" ref="I18:I23" si="5">H18/42</f>
        <v>0</v>
      </c>
      <c r="J18" s="77"/>
      <c r="K18" s="55">
        <f t="shared" ref="K18:K23" si="6">(H6*D18)/100</f>
        <v>783.76</v>
      </c>
      <c r="L18" s="75"/>
      <c r="M18" s="185"/>
    </row>
    <row r="19" spans="1:13" ht="17.399999999999999" x14ac:dyDescent="0.3">
      <c r="A19" s="75"/>
      <c r="B19" s="161">
        <v>2</v>
      </c>
      <c r="C19" s="170" t="s">
        <v>15</v>
      </c>
      <c r="D19" s="50">
        <v>13.2</v>
      </c>
      <c r="E19" s="44">
        <f t="shared" si="2"/>
        <v>3.5212104921972576</v>
      </c>
      <c r="F19" s="7">
        <f t="shared" si="3"/>
        <v>704242.09843945154</v>
      </c>
      <c r="G19" s="8">
        <v>0</v>
      </c>
      <c r="H19" s="23">
        <f t="shared" si="4"/>
        <v>0</v>
      </c>
      <c r="I19" s="7">
        <f t="shared" si="5"/>
        <v>0</v>
      </c>
      <c r="J19" s="9">
        <f>I19/$I$25</f>
        <v>0</v>
      </c>
      <c r="K19" s="56">
        <f t="shared" si="6"/>
        <v>232.03720780432269</v>
      </c>
      <c r="L19" s="75"/>
      <c r="M19" s="185"/>
    </row>
    <row r="20" spans="1:13" ht="17.399999999999999" x14ac:dyDescent="0.3">
      <c r="A20" s="75"/>
      <c r="B20" s="161">
        <v>3</v>
      </c>
      <c r="C20" s="170" t="s">
        <v>16</v>
      </c>
      <c r="D20" s="50">
        <v>5</v>
      </c>
      <c r="E20" s="44">
        <f t="shared" si="2"/>
        <v>1.3739782124053315</v>
      </c>
      <c r="F20" s="7">
        <f t="shared" si="3"/>
        <v>274795.64248106629</v>
      </c>
      <c r="G20" s="8">
        <v>0.99</v>
      </c>
      <c r="H20" s="23">
        <f t="shared" si="4"/>
        <v>272047.6860562556</v>
      </c>
      <c r="I20" s="10">
        <f t="shared" si="5"/>
        <v>6477.3258584822761</v>
      </c>
      <c r="J20" s="9">
        <f>I20/$I$25</f>
        <v>0.54885077132796833</v>
      </c>
      <c r="K20" s="56">
        <f t="shared" si="6"/>
        <v>124.86027005233449</v>
      </c>
      <c r="L20" s="75"/>
      <c r="M20" s="185"/>
    </row>
    <row r="21" spans="1:13" ht="17.399999999999999" x14ac:dyDescent="0.3">
      <c r="A21" s="75"/>
      <c r="B21" s="161">
        <v>4</v>
      </c>
      <c r="C21" s="170" t="s">
        <v>18</v>
      </c>
      <c r="D21" s="50">
        <v>1.3</v>
      </c>
      <c r="E21" s="44">
        <f t="shared" si="2"/>
        <v>0.40879145782935677</v>
      </c>
      <c r="F21" s="7">
        <f t="shared" si="3"/>
        <v>81758.291565871361</v>
      </c>
      <c r="G21" s="8">
        <v>0.99</v>
      </c>
      <c r="H21" s="23">
        <f t="shared" si="4"/>
        <v>80940.708650212648</v>
      </c>
      <c r="I21" s="10">
        <f>H21/42</f>
        <v>1927.1597297669678</v>
      </c>
      <c r="J21" s="9">
        <f>I21/$I$25</f>
        <v>0.16329626257256691</v>
      </c>
      <c r="K21" s="56">
        <f t="shared" si="6"/>
        <v>42.085080583532282</v>
      </c>
      <c r="L21" s="75"/>
      <c r="M21" s="185"/>
    </row>
    <row r="22" spans="1:13" ht="17.399999999999999" x14ac:dyDescent="0.3">
      <c r="A22" s="75"/>
      <c r="B22" s="161">
        <v>5</v>
      </c>
      <c r="C22" s="170" t="s">
        <v>17</v>
      </c>
      <c r="D22" s="50">
        <v>1.1000000000000001</v>
      </c>
      <c r="E22" s="44">
        <f t="shared" si="2"/>
        <v>0.359031521916718</v>
      </c>
      <c r="F22" s="7">
        <f t="shared" si="3"/>
        <v>71806.304383343595</v>
      </c>
      <c r="G22" s="8">
        <v>0.99</v>
      </c>
      <c r="H22" s="23">
        <f t="shared" si="4"/>
        <v>71088.241339510161</v>
      </c>
      <c r="I22" s="10">
        <f>H22/42</f>
        <v>1692.577174750242</v>
      </c>
      <c r="J22" s="9">
        <f>I22/$I$25</f>
        <v>0.1434191066174729</v>
      </c>
      <c r="K22" s="56">
        <f t="shared" si="6"/>
        <v>35.516834274089412</v>
      </c>
      <c r="L22" s="75"/>
      <c r="M22" s="185"/>
    </row>
    <row r="23" spans="1:13" ht="17.399999999999999" x14ac:dyDescent="0.3">
      <c r="A23" s="75"/>
      <c r="B23" s="162">
        <v>6</v>
      </c>
      <c r="C23" s="170" t="s">
        <v>35</v>
      </c>
      <c r="D23" s="50">
        <v>1</v>
      </c>
      <c r="E23" s="44">
        <f t="shared" si="2"/>
        <v>0.36157182685871797</v>
      </c>
      <c r="F23" s="11">
        <f t="shared" si="3"/>
        <v>72314.365371743595</v>
      </c>
      <c r="G23" s="12">
        <v>0.99</v>
      </c>
      <c r="H23" s="22">
        <f t="shared" si="4"/>
        <v>71591.221718026165</v>
      </c>
      <c r="I23" s="13">
        <f t="shared" si="5"/>
        <v>1704.552898048242</v>
      </c>
      <c r="J23" s="14">
        <f>I23/$I$25</f>
        <v>0.14443385948199186</v>
      </c>
      <c r="K23" s="57">
        <f t="shared" si="6"/>
        <v>39.780132390996144</v>
      </c>
      <c r="L23" s="75"/>
      <c r="M23" s="185"/>
    </row>
    <row r="24" spans="1:13" ht="18" thickBot="1" x14ac:dyDescent="0.35">
      <c r="A24" s="75"/>
      <c r="B24" s="162">
        <v>7</v>
      </c>
      <c r="C24" s="161" t="s">
        <v>26</v>
      </c>
      <c r="D24" s="53">
        <v>0.8</v>
      </c>
      <c r="E24" s="151"/>
      <c r="F24" s="152"/>
      <c r="G24" s="153"/>
      <c r="H24" s="154"/>
      <c r="I24" s="200"/>
      <c r="J24" s="155"/>
      <c r="K24" s="156"/>
      <c r="L24" s="75"/>
      <c r="M24" s="185"/>
    </row>
    <row r="25" spans="1:13" ht="18" thickBot="1" x14ac:dyDescent="0.35">
      <c r="A25" s="75"/>
      <c r="B25" s="163">
        <v>8</v>
      </c>
      <c r="C25" s="237" t="s">
        <v>86</v>
      </c>
      <c r="D25" s="51">
        <f>SUM(D18:D24)</f>
        <v>99.999999999999986</v>
      </c>
      <c r="E25" s="74">
        <f>SUM(E18:E23)</f>
        <v>19.146660447662864</v>
      </c>
      <c r="F25" s="61">
        <f>SUM(F18:F23)</f>
        <v>3829332.0895325732</v>
      </c>
      <c r="G25" s="52"/>
      <c r="H25" s="198">
        <f>SUM(H19:H23)</f>
        <v>495667.85776400456</v>
      </c>
      <c r="I25" s="83">
        <f>SUM(I19:I23)</f>
        <v>11801.615661047728</v>
      </c>
      <c r="J25" s="199">
        <f>I25/$I$25</f>
        <v>1</v>
      </c>
      <c r="K25" s="83">
        <f>SUM(K18:K23)</f>
        <v>1258.0395251052751</v>
      </c>
      <c r="L25" s="75"/>
      <c r="M25" s="204"/>
    </row>
    <row r="26" spans="1:13" ht="18" thickBot="1" x14ac:dyDescent="0.35">
      <c r="A26" s="75"/>
      <c r="B26" s="164">
        <v>9</v>
      </c>
      <c r="C26" s="171"/>
      <c r="D26" s="159"/>
      <c r="E26" s="58" t="s">
        <v>12</v>
      </c>
      <c r="F26" s="59"/>
      <c r="G26" s="82">
        <v>200</v>
      </c>
      <c r="H26" s="197">
        <f>SUM(F19:F23)/(G26*1000)</f>
        <v>6.024583511207382</v>
      </c>
      <c r="I26" s="197">
        <f>H25/($G$26*1000)</f>
        <v>2.4783392888200226</v>
      </c>
      <c r="J26" s="157"/>
      <c r="K26" s="158"/>
      <c r="L26" s="75"/>
      <c r="M26" s="205"/>
    </row>
    <row r="27" spans="1:13" x14ac:dyDescent="0.25">
      <c r="A27" s="75"/>
      <c r="B27" s="75"/>
      <c r="C27" s="75"/>
      <c r="D27" s="75"/>
      <c r="E27" s="75"/>
      <c r="F27" s="75"/>
      <c r="G27" s="75"/>
      <c r="H27" s="47"/>
      <c r="I27" s="47"/>
      <c r="J27" s="47"/>
      <c r="K27" s="75"/>
      <c r="L27" s="75"/>
      <c r="M27" s="75"/>
    </row>
    <row r="28" spans="1:13" ht="13.8" thickBot="1" x14ac:dyDescent="0.3">
      <c r="A28" s="75"/>
      <c r="B28" s="75"/>
      <c r="C28" s="75"/>
      <c r="D28" s="75"/>
      <c r="E28" s="75"/>
      <c r="F28" s="75"/>
      <c r="G28" s="75"/>
      <c r="H28" s="47"/>
      <c r="I28" s="47"/>
      <c r="J28" s="47"/>
      <c r="K28" s="75"/>
      <c r="L28" s="75"/>
      <c r="M28" s="75"/>
    </row>
    <row r="29" spans="1:13" ht="17.399999999999999" x14ac:dyDescent="0.3">
      <c r="A29" s="75"/>
      <c r="B29" s="243"/>
      <c r="C29" s="121" t="s">
        <v>61</v>
      </c>
      <c r="D29" s="293" t="s">
        <v>105</v>
      </c>
      <c r="E29" s="293"/>
      <c r="F29" s="293"/>
      <c r="G29" s="293"/>
      <c r="H29" s="293"/>
      <c r="I29" s="293"/>
      <c r="J29" s="293"/>
      <c r="K29" s="293"/>
      <c r="L29" s="294"/>
      <c r="M29" s="75"/>
    </row>
    <row r="30" spans="1:13" ht="18" thickBot="1" x14ac:dyDescent="0.35">
      <c r="A30" s="75"/>
      <c r="B30" s="244"/>
      <c r="C30" s="239"/>
      <c r="D30" s="126" t="s">
        <v>59</v>
      </c>
      <c r="E30" s="126" t="s">
        <v>70</v>
      </c>
      <c r="F30" s="126" t="s">
        <v>71</v>
      </c>
      <c r="G30" s="126" t="s">
        <v>72</v>
      </c>
      <c r="H30" s="126" t="s">
        <v>73</v>
      </c>
      <c r="I30" s="127" t="s">
        <v>74</v>
      </c>
      <c r="J30" s="150" t="s">
        <v>75</v>
      </c>
      <c r="K30" s="166" t="s">
        <v>76</v>
      </c>
      <c r="L30" s="167" t="s">
        <v>77</v>
      </c>
      <c r="M30" s="75"/>
    </row>
    <row r="31" spans="1:13" ht="17.399999999999999" x14ac:dyDescent="0.3">
      <c r="A31" s="75"/>
      <c r="B31" s="244"/>
      <c r="C31" s="240"/>
      <c r="D31" s="130" t="s">
        <v>36</v>
      </c>
      <c r="E31" s="128" t="s">
        <v>37</v>
      </c>
      <c r="F31" s="128" t="s">
        <v>63</v>
      </c>
      <c r="G31" s="134" t="s">
        <v>36</v>
      </c>
      <c r="H31" s="134" t="s">
        <v>37</v>
      </c>
      <c r="I31" s="176" t="s">
        <v>67</v>
      </c>
      <c r="J31" s="80"/>
      <c r="K31" s="295" t="s">
        <v>47</v>
      </c>
      <c r="L31" s="306"/>
      <c r="M31" s="75"/>
    </row>
    <row r="32" spans="1:13" ht="18" thickBot="1" x14ac:dyDescent="0.35">
      <c r="A32" s="75"/>
      <c r="B32" s="244"/>
      <c r="C32" s="241" t="s">
        <v>25</v>
      </c>
      <c r="D32" s="144" t="s">
        <v>7</v>
      </c>
      <c r="E32" s="145" t="s">
        <v>38</v>
      </c>
      <c r="F32" s="145" t="s">
        <v>64</v>
      </c>
      <c r="G32" s="146" t="s">
        <v>1</v>
      </c>
      <c r="H32" s="146" t="s">
        <v>66</v>
      </c>
      <c r="I32" s="177" t="s">
        <v>68</v>
      </c>
      <c r="J32" s="73"/>
      <c r="K32" s="97" t="s">
        <v>45</v>
      </c>
      <c r="L32" s="138" t="s">
        <v>46</v>
      </c>
      <c r="M32" s="75"/>
    </row>
    <row r="33" spans="1:16" ht="17.399999999999999" x14ac:dyDescent="0.3">
      <c r="A33" s="75"/>
      <c r="B33" s="161">
        <v>1</v>
      </c>
      <c r="C33" s="242" t="s">
        <v>20</v>
      </c>
      <c r="D33" s="142">
        <f t="shared" ref="D33:D38" si="7">F18-H18</f>
        <v>2624415.3872910966</v>
      </c>
      <c r="E33" s="136">
        <f t="shared" ref="E33:E38" si="8">(F6*D33)/1000000</f>
        <v>155.19999999999999</v>
      </c>
      <c r="F33" s="210">
        <f t="shared" ref="F33:F38" si="9">(E33/$E$39)*100</f>
        <v>85.383565864178507</v>
      </c>
      <c r="G33" s="143"/>
      <c r="H33" s="182">
        <f t="shared" ref="H33:H38" si="10">(H6*F33)/100</f>
        <v>862.37401522820289</v>
      </c>
      <c r="I33" s="178"/>
      <c r="J33" s="109" t="s">
        <v>79</v>
      </c>
      <c r="K33" s="91">
        <f>G26*1000</f>
        <v>200000</v>
      </c>
      <c r="L33" s="139">
        <f>E39*1000</f>
        <v>181768</v>
      </c>
      <c r="M33" s="75"/>
    </row>
    <row r="34" spans="1:16" ht="17.399999999999999" x14ac:dyDescent="0.3">
      <c r="A34" s="75"/>
      <c r="B34" s="161">
        <v>2</v>
      </c>
      <c r="C34" s="242" t="s">
        <v>15</v>
      </c>
      <c r="D34" s="131">
        <f t="shared" si="7"/>
        <v>704242.09843945154</v>
      </c>
      <c r="E34" s="76">
        <f t="shared" si="8"/>
        <v>26.4</v>
      </c>
      <c r="F34" s="211">
        <f t="shared" si="9"/>
        <v>14.52400862638088</v>
      </c>
      <c r="G34" s="213">
        <f>(G7/100)*F34</f>
        <v>3.8744008760587754</v>
      </c>
      <c r="H34" s="183">
        <f t="shared" si="10"/>
        <v>255.3113945296451</v>
      </c>
      <c r="I34" s="179">
        <f>(D7*H19)/1000000</f>
        <v>0</v>
      </c>
      <c r="J34" s="109" t="s">
        <v>107</v>
      </c>
      <c r="K34" s="137">
        <f>K25/1000</f>
        <v>1.2580395251052752</v>
      </c>
      <c r="L34" s="140">
        <f>H39/1000</f>
        <v>1.1203508108988733</v>
      </c>
      <c r="M34" s="75"/>
    </row>
    <row r="35" spans="1:16" ht="17.399999999999999" x14ac:dyDescent="0.3">
      <c r="A35" s="75"/>
      <c r="B35" s="161">
        <v>3</v>
      </c>
      <c r="C35" s="242" t="s">
        <v>16</v>
      </c>
      <c r="D35" s="131">
        <f t="shared" si="7"/>
        <v>2747.9564248106908</v>
      </c>
      <c r="E35" s="76">
        <f t="shared" si="8"/>
        <v>0.10000000000000102</v>
      </c>
      <c r="F35" s="211">
        <f t="shared" si="9"/>
        <v>5.5015184190837237E-2</v>
      </c>
      <c r="G35" s="213">
        <f>(G8/100)*F35</f>
        <v>1.511793288593532E-2</v>
      </c>
      <c r="H35" s="183">
        <f t="shared" si="10"/>
        <v>1.3738421510093721</v>
      </c>
      <c r="I35" s="179">
        <f>(D8*H20)/1000000</f>
        <v>24722.333470362228</v>
      </c>
      <c r="J35" s="109" t="s">
        <v>98</v>
      </c>
      <c r="K35" s="91">
        <f>K33*K34</f>
        <v>251607.90502105502</v>
      </c>
      <c r="L35" s="139">
        <f>L33*L34</f>
        <v>203643.9261954664</v>
      </c>
      <c r="M35" s="75"/>
    </row>
    <row r="36" spans="1:16" ht="17.399999999999999" x14ac:dyDescent="0.3">
      <c r="A36" s="75"/>
      <c r="B36" s="161">
        <v>4</v>
      </c>
      <c r="C36" s="242" t="s">
        <v>18</v>
      </c>
      <c r="D36" s="131">
        <f t="shared" si="7"/>
        <v>817.58291565871332</v>
      </c>
      <c r="E36" s="76">
        <f t="shared" si="8"/>
        <v>2.5999999999999988E-2</v>
      </c>
      <c r="F36" s="211">
        <f t="shared" si="9"/>
        <v>1.430394788961753E-2</v>
      </c>
      <c r="G36" s="213">
        <f>(G9/100)*F36</f>
        <v>4.4979474696245393E-3</v>
      </c>
      <c r="H36" s="183">
        <f t="shared" si="10"/>
        <v>0.46306369199784636</v>
      </c>
      <c r="I36" s="179">
        <f>(D9*H21)/1000000</f>
        <v>8332.8459555393929</v>
      </c>
      <c r="J36" s="109"/>
      <c r="K36" s="92"/>
      <c r="L36" s="141"/>
      <c r="M36" s="75"/>
    </row>
    <row r="37" spans="1:16" ht="17.399999999999999" x14ac:dyDescent="0.3">
      <c r="A37" s="75"/>
      <c r="B37" s="161">
        <v>5</v>
      </c>
      <c r="C37" s="242" t="s">
        <v>17</v>
      </c>
      <c r="D37" s="131">
        <f t="shared" si="7"/>
        <v>718.06304383343377</v>
      </c>
      <c r="E37" s="76">
        <f t="shared" si="8"/>
        <v>2.1999999999999929E-2</v>
      </c>
      <c r="F37" s="211">
        <f t="shared" si="9"/>
        <v>1.2103340521984028E-2</v>
      </c>
      <c r="G37" s="213">
        <f>(G10/100)*F37</f>
        <v>3.950437061712918E-3</v>
      </c>
      <c r="H37" s="183">
        <f t="shared" si="10"/>
        <v>0.39079303589288872</v>
      </c>
      <c r="I37" s="179">
        <f>(D10*H22)/1000000</f>
        <v>7032.3331862697032</v>
      </c>
      <c r="J37" s="109" t="s">
        <v>80</v>
      </c>
      <c r="K37" s="287">
        <f>K35</f>
        <v>251607.90502105502</v>
      </c>
      <c r="L37" s="288"/>
      <c r="M37" s="75"/>
    </row>
    <row r="38" spans="1:16" ht="17.399999999999999" x14ac:dyDescent="0.3">
      <c r="A38" s="75"/>
      <c r="B38" s="162">
        <v>6</v>
      </c>
      <c r="C38" s="242" t="s">
        <v>35</v>
      </c>
      <c r="D38" s="132">
        <f t="shared" si="7"/>
        <v>723.14365371743042</v>
      </c>
      <c r="E38" s="125">
        <f t="shared" si="8"/>
        <v>1.9999999999999851E-2</v>
      </c>
      <c r="F38" s="212">
        <f t="shared" si="9"/>
        <v>1.1003036838167253E-2</v>
      </c>
      <c r="G38" s="214">
        <f>(G11/100)*F38</f>
        <v>3.9783881305699058E-3</v>
      </c>
      <c r="H38" s="184">
        <f t="shared" si="10"/>
        <v>0.437702262125301</v>
      </c>
      <c r="I38" s="179">
        <f>(D11*H23)/1000000</f>
        <v>7876.4662134172386</v>
      </c>
      <c r="J38" s="109" t="s">
        <v>81</v>
      </c>
      <c r="K38" s="289">
        <f>-I39</f>
        <v>-47963.978825588558</v>
      </c>
      <c r="L38" s="290"/>
      <c r="M38" s="75"/>
    </row>
    <row r="39" spans="1:16" ht="17.399999999999999" x14ac:dyDescent="0.3">
      <c r="A39" s="75"/>
      <c r="B39" s="161">
        <v>7</v>
      </c>
      <c r="C39" s="219" t="s">
        <v>86</v>
      </c>
      <c r="D39" s="131">
        <f>SUM(D33:D38)</f>
        <v>3333664.2317685685</v>
      </c>
      <c r="E39" s="76">
        <f>SUM(E33:E38)</f>
        <v>181.768</v>
      </c>
      <c r="F39" s="76">
        <f>SUM(F33:F38)</f>
        <v>99.999999999999986</v>
      </c>
      <c r="G39" s="135">
        <f>SUM(G34:G38)</f>
        <v>3.901945581606618</v>
      </c>
      <c r="H39" s="183">
        <f>SUM(H33:H38)</f>
        <v>1120.3508108988733</v>
      </c>
      <c r="I39" s="180">
        <f>SUM(I34:I38)</f>
        <v>47963.978825588558</v>
      </c>
      <c r="J39" s="109" t="s">
        <v>82</v>
      </c>
      <c r="K39" s="289">
        <f>-L35</f>
        <v>-203643.9261954664</v>
      </c>
      <c r="L39" s="290"/>
      <c r="M39" s="206"/>
    </row>
    <row r="40" spans="1:16" ht="18" thickBot="1" x14ac:dyDescent="0.35">
      <c r="A40" s="75"/>
      <c r="B40" s="164">
        <v>8</v>
      </c>
      <c r="C40" s="60"/>
      <c r="D40" s="133" t="s">
        <v>65</v>
      </c>
      <c r="E40" s="129"/>
      <c r="F40" s="87">
        <f>G26-E39</f>
        <v>18.231999999999999</v>
      </c>
      <c r="G40" s="129"/>
      <c r="H40" s="175"/>
      <c r="I40" s="181"/>
      <c r="J40" s="149" t="s">
        <v>69</v>
      </c>
      <c r="K40" s="147">
        <f>K37+K38+K39</f>
        <v>0</v>
      </c>
      <c r="L40" s="148"/>
      <c r="M40" s="207"/>
    </row>
    <row r="41" spans="1:16" ht="17.399999999999999" x14ac:dyDescent="0.3">
      <c r="A41" s="75"/>
      <c r="B41" s="205"/>
      <c r="C41" s="205"/>
      <c r="D41" s="205"/>
      <c r="E41" s="215"/>
      <c r="F41" s="215"/>
      <c r="G41" s="215"/>
      <c r="H41" s="215"/>
      <c r="I41" s="216"/>
      <c r="J41" s="217"/>
      <c r="K41" s="218"/>
      <c r="L41" s="218"/>
      <c r="M41" s="207"/>
      <c r="N41" s="75"/>
    </row>
    <row r="42" spans="1:16" ht="13.8" thickBot="1" x14ac:dyDescent="0.3">
      <c r="A42" s="75"/>
      <c r="B42" s="75"/>
      <c r="C42" s="75"/>
      <c r="D42" s="75"/>
      <c r="E42" s="75"/>
      <c r="F42" s="75"/>
      <c r="G42" s="75"/>
      <c r="H42" s="47"/>
      <c r="I42" s="47"/>
      <c r="J42" s="47"/>
      <c r="K42" s="75"/>
      <c r="L42" s="75"/>
      <c r="M42" s="75"/>
      <c r="N42" s="75"/>
    </row>
    <row r="43" spans="1:16" ht="18" thickBot="1" x14ac:dyDescent="0.35">
      <c r="A43" s="75"/>
      <c r="B43" s="117"/>
      <c r="C43" s="121" t="s">
        <v>62</v>
      </c>
      <c r="D43" s="119"/>
      <c r="E43" s="119"/>
      <c r="F43" s="118" t="s">
        <v>106</v>
      </c>
      <c r="G43" s="119"/>
      <c r="H43" s="119"/>
      <c r="I43" s="119"/>
      <c r="J43" s="119"/>
      <c r="K43" s="119"/>
      <c r="L43" s="120"/>
      <c r="M43" s="208"/>
    </row>
    <row r="44" spans="1:16" ht="18" thickBot="1" x14ac:dyDescent="0.35">
      <c r="A44" s="75"/>
      <c r="B44" s="112"/>
      <c r="C44" s="116"/>
      <c r="D44" s="84" t="s">
        <v>50</v>
      </c>
      <c r="E44" s="85" t="s">
        <v>51</v>
      </c>
      <c r="F44" s="85" t="s">
        <v>52</v>
      </c>
      <c r="G44" s="85" t="s">
        <v>53</v>
      </c>
      <c r="H44" s="85" t="s">
        <v>54</v>
      </c>
      <c r="I44" s="85" t="s">
        <v>55</v>
      </c>
      <c r="J44" s="111" t="s">
        <v>57</v>
      </c>
      <c r="K44" s="111" t="s">
        <v>58</v>
      </c>
      <c r="L44" s="86" t="s">
        <v>59</v>
      </c>
      <c r="M44" s="75"/>
    </row>
    <row r="45" spans="1:16" ht="17.399999999999999" x14ac:dyDescent="0.3">
      <c r="A45" s="75"/>
      <c r="B45" s="112"/>
      <c r="C45" s="168"/>
      <c r="D45" s="297" t="s">
        <v>44</v>
      </c>
      <c r="E45" s="298"/>
      <c r="F45" s="298"/>
      <c r="G45" s="299"/>
      <c r="H45" s="105" t="s">
        <v>42</v>
      </c>
      <c r="I45" s="80"/>
      <c r="J45" s="295" t="s">
        <v>47</v>
      </c>
      <c r="K45" s="296"/>
      <c r="L45" s="96" t="s">
        <v>97</v>
      </c>
      <c r="M45" s="75"/>
    </row>
    <row r="46" spans="1:16" ht="21" thickBot="1" x14ac:dyDescent="0.4">
      <c r="A46" s="75"/>
      <c r="B46" s="112"/>
      <c r="C46" s="169" t="s">
        <v>25</v>
      </c>
      <c r="D46" s="172" t="s">
        <v>41</v>
      </c>
      <c r="E46" s="100" t="s">
        <v>39</v>
      </c>
      <c r="F46" s="101" t="s">
        <v>49</v>
      </c>
      <c r="G46" s="100" t="s">
        <v>40</v>
      </c>
      <c r="H46" s="106" t="s">
        <v>43</v>
      </c>
      <c r="I46" s="73"/>
      <c r="J46" s="97" t="s">
        <v>45</v>
      </c>
      <c r="K46" s="98" t="s">
        <v>46</v>
      </c>
      <c r="L46" s="99" t="s">
        <v>48</v>
      </c>
      <c r="M46" s="209"/>
      <c r="P46" s="255"/>
    </row>
    <row r="47" spans="1:16" ht="17.399999999999999" x14ac:dyDescent="0.3">
      <c r="A47" s="75"/>
      <c r="B47" s="113">
        <v>1</v>
      </c>
      <c r="C47" s="170" t="s">
        <v>20</v>
      </c>
      <c r="D47" s="253">
        <v>3.5659999999999998</v>
      </c>
      <c r="E47" s="261"/>
      <c r="F47" s="250">
        <v>10</v>
      </c>
      <c r="G47" s="95"/>
      <c r="H47" s="107"/>
      <c r="I47" s="109" t="s">
        <v>79</v>
      </c>
      <c r="J47" s="91">
        <f>G26*1000</f>
        <v>200000</v>
      </c>
      <c r="K47" s="78">
        <f>E39*1000</f>
        <v>181768</v>
      </c>
      <c r="L47" s="103"/>
      <c r="M47" s="209"/>
    </row>
    <row r="48" spans="1:16" ht="20.399999999999999" x14ac:dyDescent="0.35">
      <c r="A48" s="75"/>
      <c r="B48" s="113">
        <v>2</v>
      </c>
      <c r="C48" s="170" t="s">
        <v>15</v>
      </c>
      <c r="D48" s="173">
        <f>(E48/D7)*10000</f>
        <v>3.7653459186305902</v>
      </c>
      <c r="E48" s="251">
        <v>24.8125</v>
      </c>
      <c r="F48" s="102">
        <f>E48-$F$47</f>
        <v>14.8125</v>
      </c>
      <c r="G48" s="88">
        <f>F48/100</f>
        <v>0.14812500000000001</v>
      </c>
      <c r="H48" s="108">
        <f>H19*G48</f>
        <v>0</v>
      </c>
      <c r="I48" s="109" t="s">
        <v>107</v>
      </c>
      <c r="J48" s="114">
        <f>K25/1000</f>
        <v>1.2580395251052752</v>
      </c>
      <c r="K48" s="115">
        <f>H39/1000</f>
        <v>1.1203508108988733</v>
      </c>
      <c r="L48" s="104"/>
      <c r="M48" s="209"/>
      <c r="P48" s="255"/>
    </row>
    <row r="49" spans="1:17" ht="17.399999999999999" x14ac:dyDescent="0.3">
      <c r="A49" s="75"/>
      <c r="B49" s="113">
        <v>3</v>
      </c>
      <c r="C49" s="170" t="s">
        <v>16</v>
      </c>
      <c r="D49" s="173">
        <f>(E49/D8)*10000</f>
        <v>9.0508940852819819</v>
      </c>
      <c r="E49" s="252">
        <v>82.25</v>
      </c>
      <c r="F49" s="102">
        <f>E49-$F$47</f>
        <v>72.25</v>
      </c>
      <c r="G49" s="88">
        <f>F49/100</f>
        <v>0.72250000000000003</v>
      </c>
      <c r="H49" s="108">
        <f>H20*G49</f>
        <v>196554.45317564468</v>
      </c>
      <c r="I49" s="109" t="s">
        <v>98</v>
      </c>
      <c r="J49" s="91">
        <f>J47*J48</f>
        <v>251607.90502105502</v>
      </c>
      <c r="K49" s="78">
        <f>K47*K48</f>
        <v>203643.9261954664</v>
      </c>
      <c r="L49" s="104"/>
      <c r="M49" s="209"/>
      <c r="O49" s="256" t="s">
        <v>54</v>
      </c>
      <c r="P49" s="254"/>
    </row>
    <row r="50" spans="1:17" ht="17.399999999999999" x14ac:dyDescent="0.3">
      <c r="A50" s="75"/>
      <c r="B50" s="113">
        <v>4</v>
      </c>
      <c r="C50" s="170" t="s">
        <v>18</v>
      </c>
      <c r="D50" s="173">
        <f>(E50/D9)*10000</f>
        <v>15.905779504613889</v>
      </c>
      <c r="E50" s="252">
        <v>163.75</v>
      </c>
      <c r="F50" s="102">
        <f>E50-$F$47</f>
        <v>153.75</v>
      </c>
      <c r="G50" s="88">
        <f>F50/100</f>
        <v>1.5375000000000001</v>
      </c>
      <c r="H50" s="108">
        <f>H21*G50</f>
        <v>124446.33954970195</v>
      </c>
      <c r="I50" s="109" t="s">
        <v>99</v>
      </c>
      <c r="J50" s="92">
        <f>D47</f>
        <v>3.5659999999999998</v>
      </c>
      <c r="K50" s="90">
        <f>J50</f>
        <v>3.5659999999999998</v>
      </c>
      <c r="L50" s="104"/>
      <c r="M50" s="209"/>
    </row>
    <row r="51" spans="1:17" ht="17.399999999999999" x14ac:dyDescent="0.3">
      <c r="A51" s="75"/>
      <c r="B51" s="113">
        <v>5</v>
      </c>
      <c r="C51" s="170" t="s">
        <v>17</v>
      </c>
      <c r="D51" s="173">
        <f>(E51/D10)*10000</f>
        <v>17.873569608992764</v>
      </c>
      <c r="E51" s="252">
        <v>176.8125</v>
      </c>
      <c r="F51" s="102">
        <f>E51-$F$47</f>
        <v>166.8125</v>
      </c>
      <c r="G51" s="88">
        <f>F51/100</f>
        <v>1.6681250000000001</v>
      </c>
      <c r="H51" s="108">
        <f>H22*G51</f>
        <v>118584.0725844704</v>
      </c>
      <c r="I51" s="110" t="s">
        <v>83</v>
      </c>
      <c r="J51" s="93">
        <f>J49*J50</f>
        <v>897233.78930508217</v>
      </c>
      <c r="K51" s="89">
        <f>K49*K50</f>
        <v>726194.24081303319</v>
      </c>
      <c r="L51" s="104"/>
      <c r="M51" s="209"/>
      <c r="O51"/>
      <c r="P51"/>
      <c r="Q51"/>
    </row>
    <row r="52" spans="1:17" ht="18" thickBot="1" x14ac:dyDescent="0.35">
      <c r="A52" s="75"/>
      <c r="B52" s="274">
        <v>6</v>
      </c>
      <c r="C52" s="170" t="s">
        <v>35</v>
      </c>
      <c r="D52" s="173">
        <f>(E52/D11)*10000</f>
        <v>19.496455189965459</v>
      </c>
      <c r="E52" s="252">
        <v>214.5</v>
      </c>
      <c r="F52" s="102">
        <f>E52-$F$47</f>
        <v>204.5</v>
      </c>
      <c r="G52" s="88">
        <f>F52/100</f>
        <v>2.0449999999999999</v>
      </c>
      <c r="H52" s="108">
        <f>H23*G52</f>
        <v>146404.04841336349</v>
      </c>
      <c r="I52" s="109"/>
      <c r="J52" s="94"/>
      <c r="K52" s="79"/>
      <c r="L52" s="104"/>
      <c r="M52" s="209"/>
      <c r="O52"/>
      <c r="P52"/>
      <c r="Q52"/>
    </row>
    <row r="53" spans="1:17" ht="18" thickBot="1" x14ac:dyDescent="0.35">
      <c r="A53" s="75"/>
      <c r="B53" s="275">
        <v>7</v>
      </c>
      <c r="C53" s="276" t="s">
        <v>86</v>
      </c>
      <c r="D53" s="266"/>
      <c r="E53" s="278"/>
      <c r="F53" s="266"/>
      <c r="G53" s="266"/>
      <c r="H53" s="267">
        <f>SUM(H48:H52)</f>
        <v>585988.91372318054</v>
      </c>
      <c r="I53" s="268"/>
      <c r="J53" s="269">
        <f>-J51</f>
        <v>-897233.78930508217</v>
      </c>
      <c r="K53" s="270">
        <f>K51</f>
        <v>726194.24081303319</v>
      </c>
      <c r="L53" s="124">
        <f>H53+J53+K53</f>
        <v>414949.36523113155</v>
      </c>
      <c r="M53" s="75"/>
      <c r="O53"/>
      <c r="P53"/>
      <c r="Q53"/>
    </row>
    <row r="54" spans="1:17" ht="18" thickBot="1" x14ac:dyDescent="0.35">
      <c r="A54" s="75"/>
      <c r="B54" s="263">
        <v>8</v>
      </c>
      <c r="C54" s="291" t="s">
        <v>108</v>
      </c>
      <c r="D54" s="292"/>
      <c r="E54" s="262">
        <f>(E48-F47)/D7 * 10000</f>
        <v>2.2478261529356423</v>
      </c>
      <c r="F54" s="266"/>
      <c r="G54" s="266"/>
      <c r="H54" s="279"/>
      <c r="I54" s="279"/>
      <c r="J54" s="279"/>
      <c r="K54" s="266"/>
      <c r="L54" s="280"/>
      <c r="M54" s="75"/>
      <c r="O54"/>
      <c r="P54"/>
      <c r="Q54"/>
    </row>
    <row r="55" spans="1:17" x14ac:dyDescent="0.25">
      <c r="A55" s="75"/>
      <c r="B55" s="75"/>
      <c r="C55" s="75"/>
      <c r="D55" s="75"/>
      <c r="E55" s="75"/>
      <c r="F55" s="75"/>
      <c r="G55" s="75"/>
      <c r="H55" s="47"/>
      <c r="I55" s="47"/>
      <c r="J55" s="47"/>
      <c r="K55" s="75"/>
      <c r="L55" s="75"/>
      <c r="M55" s="75"/>
    </row>
    <row r="56" spans="1:17" ht="16.8" customHeight="1" x14ac:dyDescent="0.3">
      <c r="A56" s="75"/>
      <c r="B56" s="75"/>
      <c r="C56" s="75"/>
      <c r="D56" s="75"/>
      <c r="E56" s="75"/>
      <c r="F56" s="75"/>
      <c r="G56" s="206"/>
      <c r="H56" s="47"/>
      <c r="I56" s="47"/>
      <c r="J56" s="47"/>
      <c r="L56" s="75"/>
      <c r="M56" s="75"/>
    </row>
    <row r="1000" spans="52:52" customFormat="1" x14ac:dyDescent="0.25">
      <c r="AZ1000" t="s">
        <v>87</v>
      </c>
    </row>
    <row r="1001" spans="52:52" customFormat="1" x14ac:dyDescent="0.25">
      <c r="AZ1001" s="245">
        <v>41288</v>
      </c>
    </row>
    <row r="1002" spans="52:52" customFormat="1" x14ac:dyDescent="0.25">
      <c r="AZ1002" t="s">
        <v>88</v>
      </c>
    </row>
    <row r="1003" spans="52:52" customFormat="1" x14ac:dyDescent="0.25">
      <c r="AZ1003" t="s">
        <v>89</v>
      </c>
    </row>
    <row r="1004" spans="52:52" customFormat="1" x14ac:dyDescent="0.25">
      <c r="AZ1004" t="s">
        <v>90</v>
      </c>
    </row>
    <row r="1005" spans="52:52" customFormat="1" x14ac:dyDescent="0.25">
      <c r="AZ1005" t="s">
        <v>91</v>
      </c>
    </row>
    <row r="1006" spans="52:52" customFormat="1" x14ac:dyDescent="0.25">
      <c r="AZ1006" t="s">
        <v>92</v>
      </c>
    </row>
    <row r="1007" spans="52:52" customFormat="1" x14ac:dyDescent="0.25">
      <c r="AZ1007" t="s">
        <v>93</v>
      </c>
    </row>
    <row r="1008" spans="52:52" customFormat="1" x14ac:dyDescent="0.25">
      <c r="AZ1008" t="s">
        <v>94</v>
      </c>
    </row>
  </sheetData>
  <mergeCells count="12">
    <mergeCell ref="K38:L38"/>
    <mergeCell ref="K39:L39"/>
    <mergeCell ref="D45:G45"/>
    <mergeCell ref="J45:K45"/>
    <mergeCell ref="K31:L31"/>
    <mergeCell ref="C54:D54"/>
    <mergeCell ref="D2:H2"/>
    <mergeCell ref="E4:E5"/>
    <mergeCell ref="G4:G5"/>
    <mergeCell ref="D14:K14"/>
    <mergeCell ref="D29:L29"/>
    <mergeCell ref="K37:L37"/>
  </mergeCells>
  <conditionalFormatting sqref="E54">
    <cfRule type="cellIs" dxfId="2" priority="1" stopIfTrue="1" operator="lessThan">
      <formula>$D$47</formula>
    </cfRule>
  </conditionalFormatting>
  <hyperlinks>
    <hyperlink ref="J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8"/>
  <sheetViews>
    <sheetView topLeftCell="A19" zoomScale="50" zoomScaleNormal="50" workbookViewId="0">
      <selection activeCell="F60" sqref="F60:F61"/>
    </sheetView>
  </sheetViews>
  <sheetFormatPr defaultRowHeight="13.2" x14ac:dyDescent="0.25"/>
  <cols>
    <col min="1" max="1" width="4.21875" customWidth="1"/>
    <col min="2" max="2" width="4.109375" customWidth="1"/>
    <col min="3" max="3" width="20.6640625" customWidth="1"/>
    <col min="4" max="4" width="15.21875" customWidth="1"/>
    <col min="5" max="5" width="17.109375" customWidth="1"/>
    <col min="6" max="6" width="15.21875" customWidth="1"/>
    <col min="7" max="7" width="13.6640625" customWidth="1"/>
    <col min="8" max="8" width="18.33203125" style="1" customWidth="1"/>
    <col min="9" max="9" width="22.6640625" style="1" customWidth="1"/>
    <col min="10" max="10" width="23.21875" style="1" customWidth="1"/>
    <col min="11" max="11" width="16.77734375" customWidth="1"/>
    <col min="12" max="12" width="16.88671875" customWidth="1"/>
    <col min="13" max="13" width="3.77734375" customWidth="1"/>
    <col min="14" max="14" width="8.33203125" customWidth="1"/>
    <col min="15" max="15" width="9.109375" style="2" bestFit="1" customWidth="1"/>
    <col min="16" max="16" width="10.44140625" style="2" bestFit="1" customWidth="1"/>
    <col min="17" max="17" width="4.5546875" style="1" customWidth="1"/>
    <col min="18" max="18" width="13.33203125" customWidth="1"/>
    <col min="19" max="19" width="11.44140625" customWidth="1"/>
    <col min="52" max="52" width="15.44140625" bestFit="1" customWidth="1"/>
  </cols>
  <sheetData>
    <row r="1" spans="1:17" ht="13.8" thickBot="1" x14ac:dyDescent="0.3">
      <c r="A1" s="75"/>
      <c r="B1" s="75"/>
      <c r="C1" s="75"/>
      <c r="D1" s="75"/>
      <c r="E1" s="75"/>
      <c r="F1" s="75"/>
      <c r="G1" s="75"/>
      <c r="H1" s="47"/>
      <c r="I1" s="47"/>
      <c r="J1" s="47"/>
      <c r="K1" s="75"/>
      <c r="L1" s="75"/>
      <c r="M1" s="75"/>
    </row>
    <row r="2" spans="1:17" s="75" customFormat="1" ht="17.399999999999999" x14ac:dyDescent="0.3">
      <c r="B2" s="243"/>
      <c r="C2" s="196" t="s">
        <v>84</v>
      </c>
      <c r="D2" s="293" t="s">
        <v>85</v>
      </c>
      <c r="E2" s="293"/>
      <c r="F2" s="293"/>
      <c r="G2" s="293"/>
      <c r="H2" s="294"/>
      <c r="I2" s="220"/>
      <c r="J2" s="221"/>
      <c r="K2" s="222"/>
      <c r="O2" s="48"/>
      <c r="P2" s="48"/>
      <c r="Q2" s="47"/>
    </row>
    <row r="3" spans="1:17" s="45" customFormat="1" ht="17.399999999999999" x14ac:dyDescent="0.3">
      <c r="A3" s="186"/>
      <c r="B3" s="244"/>
      <c r="C3" s="62" t="s">
        <v>27</v>
      </c>
      <c r="D3" s="63" t="s">
        <v>28</v>
      </c>
      <c r="E3" s="63" t="s">
        <v>29</v>
      </c>
      <c r="F3" s="63" t="s">
        <v>30</v>
      </c>
      <c r="G3" s="63" t="s">
        <v>31</v>
      </c>
      <c r="H3" s="64" t="s">
        <v>32</v>
      </c>
      <c r="I3" s="223"/>
      <c r="J3" s="224"/>
      <c r="K3" s="225"/>
      <c r="L3" s="186"/>
      <c r="M3" s="186"/>
    </row>
    <row r="4" spans="1:17" ht="22.8" x14ac:dyDescent="0.4">
      <c r="A4" s="75"/>
      <c r="B4" s="244"/>
      <c r="C4" s="72" t="s">
        <v>33</v>
      </c>
      <c r="D4" s="71">
        <v>379.48200000000003</v>
      </c>
      <c r="E4" s="302" t="s">
        <v>4</v>
      </c>
      <c r="F4" s="65" t="s">
        <v>23</v>
      </c>
      <c r="G4" s="304" t="s">
        <v>24</v>
      </c>
      <c r="H4" s="66" t="s">
        <v>8</v>
      </c>
      <c r="I4" s="226"/>
      <c r="J4" s="227"/>
      <c r="K4" s="228"/>
      <c r="L4" s="75"/>
      <c r="M4" s="75"/>
    </row>
    <row r="5" spans="1:17" ht="18" thickBot="1" x14ac:dyDescent="0.35">
      <c r="A5" s="75"/>
      <c r="B5" s="244"/>
      <c r="C5" s="70"/>
      <c r="D5" s="69" t="s">
        <v>11</v>
      </c>
      <c r="E5" s="303"/>
      <c r="F5" s="67" t="s">
        <v>22</v>
      </c>
      <c r="G5" s="305"/>
      <c r="H5" s="68" t="s">
        <v>9</v>
      </c>
      <c r="I5" s="229"/>
      <c r="J5" s="230"/>
      <c r="K5" s="228"/>
      <c r="L5" s="75"/>
      <c r="M5" s="75"/>
    </row>
    <row r="6" spans="1:17" ht="17.399999999999999" x14ac:dyDescent="0.3">
      <c r="A6" s="75"/>
      <c r="B6" s="161">
        <v>1</v>
      </c>
      <c r="C6" s="24" t="s">
        <v>20</v>
      </c>
      <c r="D6" s="26"/>
      <c r="E6" s="19">
        <v>6.4169999999999998</v>
      </c>
      <c r="F6" s="20">
        <f t="shared" ref="F6:F11" si="0">$D$4/E6</f>
        <v>59.136979897148208</v>
      </c>
      <c r="G6" s="6">
        <f t="shared" ref="G6:G11" si="1">(E6/$D$4)*1000</f>
        <v>16.90989295934985</v>
      </c>
      <c r="H6" s="21">
        <v>1010</v>
      </c>
      <c r="I6" s="223"/>
      <c r="J6" s="231"/>
      <c r="K6" s="232"/>
      <c r="L6" s="187"/>
      <c r="M6" s="201"/>
    </row>
    <row r="7" spans="1:17" ht="17.399999999999999" x14ac:dyDescent="0.3">
      <c r="A7" s="75"/>
      <c r="B7" s="161">
        <v>2</v>
      </c>
      <c r="C7" s="24" t="s">
        <v>15</v>
      </c>
      <c r="D7" s="27">
        <v>65897</v>
      </c>
      <c r="E7" s="5">
        <v>10.122999999999999</v>
      </c>
      <c r="F7" s="6">
        <f t="shared" si="0"/>
        <v>37.487108564654754</v>
      </c>
      <c r="G7" s="6">
        <f t="shared" si="1"/>
        <v>26.675837062100438</v>
      </c>
      <c r="H7" s="15">
        <f>D7/F7</f>
        <v>1757.8576348812326</v>
      </c>
      <c r="I7" s="223"/>
      <c r="J7" s="233"/>
      <c r="K7" s="228"/>
      <c r="L7" s="75"/>
      <c r="M7" s="75"/>
      <c r="N7" s="4"/>
    </row>
    <row r="8" spans="1:17" ht="17.399999999999999" x14ac:dyDescent="0.3">
      <c r="A8" s="75"/>
      <c r="B8" s="161">
        <v>3</v>
      </c>
      <c r="C8" s="24" t="s">
        <v>16</v>
      </c>
      <c r="D8" s="27">
        <v>90875</v>
      </c>
      <c r="E8" s="5">
        <v>10.428000000000001</v>
      </c>
      <c r="F8" s="6">
        <f t="shared" si="0"/>
        <v>36.390678941311855</v>
      </c>
      <c r="G8" s="6">
        <f t="shared" si="1"/>
        <v>27.47956424810663</v>
      </c>
      <c r="H8" s="15">
        <f>D8/F8</f>
        <v>2497.20540104669</v>
      </c>
      <c r="I8" s="226"/>
      <c r="J8" s="246" t="s">
        <v>95</v>
      </c>
      <c r="K8" s="228"/>
      <c r="L8" s="188"/>
      <c r="M8" s="75"/>
      <c r="N8" s="4"/>
    </row>
    <row r="9" spans="1:17" ht="17.399999999999999" x14ac:dyDescent="0.3">
      <c r="A9" s="75"/>
      <c r="B9" s="161">
        <v>4</v>
      </c>
      <c r="C9" s="24" t="s">
        <v>18</v>
      </c>
      <c r="D9" s="27">
        <v>102950</v>
      </c>
      <c r="E9" s="5">
        <v>11.933</v>
      </c>
      <c r="F9" s="6">
        <f t="shared" si="0"/>
        <v>31.801055895416077</v>
      </c>
      <c r="G9" s="6">
        <f t="shared" si="1"/>
        <v>31.445496756104369</v>
      </c>
      <c r="H9" s="15">
        <f>D9/F9</f>
        <v>3237.3138910409448</v>
      </c>
      <c r="I9" s="223"/>
      <c r="J9" s="247">
        <v>41295</v>
      </c>
      <c r="K9" s="228"/>
      <c r="L9" s="75"/>
      <c r="M9" s="75"/>
      <c r="N9" s="4"/>
    </row>
    <row r="10" spans="1:17" ht="17.399999999999999" x14ac:dyDescent="0.3">
      <c r="A10" s="75"/>
      <c r="B10" s="161">
        <v>5</v>
      </c>
      <c r="C10" s="24" t="s">
        <v>17</v>
      </c>
      <c r="D10" s="27">
        <v>98924</v>
      </c>
      <c r="E10" s="5">
        <v>12.385999999999999</v>
      </c>
      <c r="F10" s="6">
        <f t="shared" si="0"/>
        <v>30.637978362667532</v>
      </c>
      <c r="G10" s="6">
        <f t="shared" si="1"/>
        <v>32.639229265156182</v>
      </c>
      <c r="H10" s="15">
        <f>D10/F10</f>
        <v>3228.8031158263102</v>
      </c>
      <c r="I10" s="223"/>
      <c r="J10" s="248" t="s">
        <v>96</v>
      </c>
      <c r="K10" s="228"/>
      <c r="L10" s="189"/>
      <c r="M10" s="189"/>
      <c r="N10" s="4"/>
    </row>
    <row r="11" spans="1:17" ht="18" thickBot="1" x14ac:dyDescent="0.35">
      <c r="A11" s="75"/>
      <c r="B11" s="165">
        <v>6</v>
      </c>
      <c r="C11" s="25" t="s">
        <v>19</v>
      </c>
      <c r="D11" s="28">
        <v>110020</v>
      </c>
      <c r="E11" s="16">
        <v>13.721</v>
      </c>
      <c r="F11" s="17">
        <f t="shared" si="0"/>
        <v>27.657022082938564</v>
      </c>
      <c r="G11" s="17">
        <f t="shared" si="1"/>
        <v>36.157182685871796</v>
      </c>
      <c r="H11" s="18">
        <f>D11/F11</f>
        <v>3978.0132390996146</v>
      </c>
      <c r="I11" s="234"/>
      <c r="J11" s="235"/>
      <c r="K11" s="236"/>
      <c r="L11" s="75"/>
      <c r="M11" s="75"/>
      <c r="N11" s="4"/>
    </row>
    <row r="12" spans="1:17" ht="17.399999999999999" x14ac:dyDescent="0.3">
      <c r="A12" s="75"/>
      <c r="B12" s="75"/>
      <c r="C12" s="192"/>
      <c r="D12" s="185"/>
      <c r="E12" s="193"/>
      <c r="F12" s="194"/>
      <c r="G12" s="194"/>
      <c r="H12" s="185"/>
      <c r="I12" s="185"/>
      <c r="J12" s="195"/>
      <c r="K12" s="75"/>
      <c r="L12" s="190"/>
      <c r="M12" s="189"/>
      <c r="N12" s="4"/>
    </row>
    <row r="13" spans="1:17" ht="13.8" thickBot="1" x14ac:dyDescent="0.3">
      <c r="A13" s="75"/>
      <c r="B13" s="75"/>
      <c r="C13" s="75"/>
      <c r="D13" s="47">
        <v>1</v>
      </c>
      <c r="E13" s="47">
        <v>2</v>
      </c>
      <c r="F13" s="47">
        <v>3</v>
      </c>
      <c r="G13" s="47">
        <v>4</v>
      </c>
      <c r="H13" s="47">
        <v>5</v>
      </c>
      <c r="I13" s="47">
        <v>6</v>
      </c>
      <c r="J13" s="47">
        <v>7</v>
      </c>
      <c r="K13" s="47">
        <v>8</v>
      </c>
      <c r="L13" s="191"/>
      <c r="M13" s="75"/>
      <c r="N13" s="3"/>
    </row>
    <row r="14" spans="1:17" ht="17.399999999999999" x14ac:dyDescent="0.3">
      <c r="A14" s="75"/>
      <c r="B14" s="243"/>
      <c r="C14" s="238" t="s">
        <v>60</v>
      </c>
      <c r="D14" s="300" t="s">
        <v>101</v>
      </c>
      <c r="E14" s="300"/>
      <c r="F14" s="300"/>
      <c r="G14" s="300"/>
      <c r="H14" s="300"/>
      <c r="I14" s="300"/>
      <c r="J14" s="300"/>
      <c r="K14" s="301"/>
      <c r="L14" s="174"/>
      <c r="M14" s="174"/>
    </row>
    <row r="15" spans="1:17" ht="18" thickBot="1" x14ac:dyDescent="0.35">
      <c r="A15" s="75"/>
      <c r="B15" s="244"/>
      <c r="C15" s="160"/>
      <c r="D15" s="84" t="s">
        <v>50</v>
      </c>
      <c r="E15" s="85" t="s">
        <v>51</v>
      </c>
      <c r="F15" s="85" t="s">
        <v>52</v>
      </c>
      <c r="G15" s="85" t="s">
        <v>53</v>
      </c>
      <c r="H15" s="85" t="s">
        <v>54</v>
      </c>
      <c r="I15" s="85" t="s">
        <v>55</v>
      </c>
      <c r="J15" s="85" t="s">
        <v>57</v>
      </c>
      <c r="K15" s="86" t="s">
        <v>58</v>
      </c>
      <c r="L15" s="191"/>
      <c r="M15" s="202"/>
    </row>
    <row r="16" spans="1:17" ht="17.399999999999999" x14ac:dyDescent="0.3">
      <c r="A16" s="75"/>
      <c r="B16" s="244"/>
      <c r="C16" s="168"/>
      <c r="D16" s="81"/>
      <c r="E16" s="122" t="s">
        <v>0</v>
      </c>
      <c r="F16" s="249"/>
      <c r="G16" s="32" t="s">
        <v>5</v>
      </c>
      <c r="H16" s="33" t="s">
        <v>13</v>
      </c>
      <c r="I16" s="34" t="s">
        <v>13</v>
      </c>
      <c r="J16" s="35" t="s">
        <v>21</v>
      </c>
      <c r="K16" s="36" t="s">
        <v>10</v>
      </c>
      <c r="L16" s="191"/>
      <c r="M16" s="203"/>
    </row>
    <row r="17" spans="1:13" ht="18" thickBot="1" x14ac:dyDescent="0.35">
      <c r="A17" s="75"/>
      <c r="B17" s="244"/>
      <c r="C17" s="169" t="s">
        <v>25</v>
      </c>
      <c r="D17" s="54" t="s">
        <v>3</v>
      </c>
      <c r="E17" s="37" t="s">
        <v>1</v>
      </c>
      <c r="F17" s="38" t="s">
        <v>2</v>
      </c>
      <c r="G17" s="39" t="s">
        <v>6</v>
      </c>
      <c r="H17" s="40" t="s">
        <v>7</v>
      </c>
      <c r="I17" s="41" t="s">
        <v>14</v>
      </c>
      <c r="J17" s="42" t="s">
        <v>13</v>
      </c>
      <c r="K17" s="43" t="s">
        <v>34</v>
      </c>
      <c r="L17" s="75"/>
      <c r="M17" s="203"/>
    </row>
    <row r="18" spans="1:13" ht="17.399999999999999" x14ac:dyDescent="0.3">
      <c r="A18" s="75"/>
      <c r="B18" s="161">
        <v>1</v>
      </c>
      <c r="C18" s="170" t="s">
        <v>20</v>
      </c>
      <c r="D18" s="49">
        <v>82.57</v>
      </c>
      <c r="E18" s="44">
        <f t="shared" ref="E18:E23" si="2">G6*D18/100</f>
        <v>13.96249861653517</v>
      </c>
      <c r="F18" s="7">
        <f t="shared" ref="F18:F23" si="3">(E18*$G$26)*1000</f>
        <v>2792499.723307034</v>
      </c>
      <c r="G18" s="29">
        <v>0</v>
      </c>
      <c r="H18" s="30">
        <f t="shared" ref="H18:H23" si="4">G18*F18</f>
        <v>0</v>
      </c>
      <c r="I18" s="31">
        <f t="shared" ref="I18:I23" si="5">H18/42</f>
        <v>0</v>
      </c>
      <c r="J18" s="77"/>
      <c r="K18" s="55">
        <f t="shared" ref="K18:K23" si="6">(H6*D18)/100</f>
        <v>833.95699999999999</v>
      </c>
      <c r="L18" s="75"/>
      <c r="M18" s="185"/>
    </row>
    <row r="19" spans="1:13" ht="17.399999999999999" x14ac:dyDescent="0.3">
      <c r="A19" s="75"/>
      <c r="B19" s="161">
        <v>2</v>
      </c>
      <c r="C19" s="170" t="s">
        <v>15</v>
      </c>
      <c r="D19" s="50">
        <v>9.15</v>
      </c>
      <c r="E19" s="44">
        <f t="shared" si="2"/>
        <v>2.4408390911821902</v>
      </c>
      <c r="F19" s="7">
        <f t="shared" si="3"/>
        <v>488167.81823643803</v>
      </c>
      <c r="G19" s="8">
        <v>0.9</v>
      </c>
      <c r="H19" s="23">
        <f t="shared" si="4"/>
        <v>439351.03641279426</v>
      </c>
      <c r="I19" s="7">
        <f t="shared" si="5"/>
        <v>10460.738962209387</v>
      </c>
      <c r="J19" s="9">
        <f>I19/$I$25</f>
        <v>0.49699842579028608</v>
      </c>
      <c r="K19" s="56">
        <f t="shared" si="6"/>
        <v>160.84397359163279</v>
      </c>
      <c r="L19" s="75"/>
      <c r="M19" s="185"/>
    </row>
    <row r="20" spans="1:13" ht="17.399999999999999" x14ac:dyDescent="0.3">
      <c r="A20" s="75"/>
      <c r="B20" s="161">
        <v>3</v>
      </c>
      <c r="C20" s="170" t="s">
        <v>16</v>
      </c>
      <c r="D20" s="50">
        <v>3.07</v>
      </c>
      <c r="E20" s="44">
        <f t="shared" si="2"/>
        <v>0.84362262241687347</v>
      </c>
      <c r="F20" s="7">
        <f t="shared" si="3"/>
        <v>168724.5244833747</v>
      </c>
      <c r="G20" s="8">
        <v>0.99</v>
      </c>
      <c r="H20" s="23">
        <f t="shared" si="4"/>
        <v>167037.27923854094</v>
      </c>
      <c r="I20" s="10">
        <f t="shared" si="5"/>
        <v>3977.0780771081177</v>
      </c>
      <c r="J20" s="9">
        <f>I20/$I$25</f>
        <v>0.18895429383225135</v>
      </c>
      <c r="K20" s="56">
        <f t="shared" si="6"/>
        <v>76.664205812133375</v>
      </c>
      <c r="L20" s="75"/>
      <c r="M20" s="185"/>
    </row>
    <row r="21" spans="1:13" ht="17.399999999999999" x14ac:dyDescent="0.3">
      <c r="A21" s="75"/>
      <c r="B21" s="161">
        <v>4</v>
      </c>
      <c r="C21" s="170" t="s">
        <v>18</v>
      </c>
      <c r="D21" s="50">
        <v>0.99</v>
      </c>
      <c r="E21" s="44">
        <f t="shared" si="2"/>
        <v>0.31131041788543323</v>
      </c>
      <c r="F21" s="7">
        <f t="shared" si="3"/>
        <v>62262.083577086647</v>
      </c>
      <c r="G21" s="8">
        <v>0.99</v>
      </c>
      <c r="H21" s="23">
        <f t="shared" si="4"/>
        <v>61639.46274131578</v>
      </c>
      <c r="I21" s="10">
        <f>H21/42</f>
        <v>1467.6062557456139</v>
      </c>
      <c r="J21" s="9">
        <f>I21/$I$25</f>
        <v>6.9727196273664763E-2</v>
      </c>
      <c r="K21" s="56">
        <f t="shared" si="6"/>
        <v>32.049407521305355</v>
      </c>
      <c r="L21" s="75"/>
      <c r="M21" s="185"/>
    </row>
    <row r="22" spans="1:13" ht="17.399999999999999" x14ac:dyDescent="0.3">
      <c r="A22" s="75"/>
      <c r="B22" s="161">
        <v>5</v>
      </c>
      <c r="C22" s="170" t="s">
        <v>17</v>
      </c>
      <c r="D22" s="50">
        <v>1.06</v>
      </c>
      <c r="E22" s="44">
        <f t="shared" si="2"/>
        <v>0.34597583021065553</v>
      </c>
      <c r="F22" s="7">
        <f t="shared" si="3"/>
        <v>69195.16604213111</v>
      </c>
      <c r="G22" s="8">
        <v>0.99</v>
      </c>
      <c r="H22" s="23">
        <f t="shared" si="4"/>
        <v>68503.214381709797</v>
      </c>
      <c r="I22" s="10">
        <f>H22/42</f>
        <v>1631.0289138502333</v>
      </c>
      <c r="J22" s="9">
        <f>I22/$I$25</f>
        <v>7.7491542952219633E-2</v>
      </c>
      <c r="K22" s="56">
        <f t="shared" si="6"/>
        <v>34.225313027758887</v>
      </c>
      <c r="L22" s="75"/>
      <c r="M22" s="185"/>
    </row>
    <row r="23" spans="1:13" ht="17.399999999999999" x14ac:dyDescent="0.3">
      <c r="A23" s="75"/>
      <c r="B23" s="162">
        <v>6</v>
      </c>
      <c r="C23" s="170" t="s">
        <v>35</v>
      </c>
      <c r="D23" s="50">
        <v>2.06</v>
      </c>
      <c r="E23" s="44">
        <f t="shared" si="2"/>
        <v>0.74483796332895902</v>
      </c>
      <c r="F23" s="11">
        <f t="shared" si="3"/>
        <v>148967.5926657918</v>
      </c>
      <c r="G23" s="12">
        <v>0.99</v>
      </c>
      <c r="H23" s="22">
        <f t="shared" si="4"/>
        <v>147477.91673913389</v>
      </c>
      <c r="I23" s="13">
        <f t="shared" si="5"/>
        <v>3511.3789699793783</v>
      </c>
      <c r="J23" s="14">
        <f>I23/$I$25</f>
        <v>0.1668285411515783</v>
      </c>
      <c r="K23" s="57">
        <f t="shared" si="6"/>
        <v>81.94707272545206</v>
      </c>
      <c r="L23" s="75"/>
      <c r="M23" s="185"/>
    </row>
    <row r="24" spans="1:13" ht="18" thickBot="1" x14ac:dyDescent="0.35">
      <c r="A24" s="75"/>
      <c r="B24" s="162">
        <v>7</v>
      </c>
      <c r="C24" s="161" t="s">
        <v>26</v>
      </c>
      <c r="D24" s="53">
        <v>1.1000000000000001</v>
      </c>
      <c r="E24" s="151"/>
      <c r="F24" s="152"/>
      <c r="G24" s="153"/>
      <c r="H24" s="154"/>
      <c r="I24" s="200"/>
      <c r="J24" s="155"/>
      <c r="K24" s="156"/>
      <c r="L24" s="75"/>
      <c r="M24" s="185"/>
    </row>
    <row r="25" spans="1:13" ht="18" thickBot="1" x14ac:dyDescent="0.35">
      <c r="A25" s="75"/>
      <c r="B25" s="163">
        <v>8</v>
      </c>
      <c r="C25" s="237" t="s">
        <v>86</v>
      </c>
      <c r="D25" s="51">
        <f>SUM(D18:D24)</f>
        <v>99.999999999999986</v>
      </c>
      <c r="E25" s="74">
        <f>SUM(E18:E23)</f>
        <v>18.649084541559279</v>
      </c>
      <c r="F25" s="61">
        <f>SUM(F18:F23)</f>
        <v>3729816.9083118564</v>
      </c>
      <c r="G25" s="52"/>
      <c r="H25" s="198">
        <f>SUM(H19:H23)</f>
        <v>884008.9095134947</v>
      </c>
      <c r="I25" s="83">
        <f>SUM(I19:I23)</f>
        <v>21047.831178892728</v>
      </c>
      <c r="J25" s="199">
        <f>I25/$I$25</f>
        <v>1</v>
      </c>
      <c r="K25" s="83">
        <f>SUM(K18:K23)</f>
        <v>1219.6869726782822</v>
      </c>
      <c r="L25" s="75"/>
      <c r="M25" s="204"/>
    </row>
    <row r="26" spans="1:13" ht="18" thickBot="1" x14ac:dyDescent="0.35">
      <c r="A26" s="75"/>
      <c r="B26" s="164">
        <v>9</v>
      </c>
      <c r="C26" s="171"/>
      <c r="D26" s="159"/>
      <c r="E26" s="58" t="s">
        <v>12</v>
      </c>
      <c r="F26" s="59"/>
      <c r="G26" s="82">
        <v>200</v>
      </c>
      <c r="H26" s="197">
        <f>SUM(F19:F23)/(G26*1000)</f>
        <v>4.6865859250241124</v>
      </c>
      <c r="I26" s="197">
        <f>H25/($G$26*1000)</f>
        <v>4.4200445475674739</v>
      </c>
      <c r="J26" s="157"/>
      <c r="K26" s="158"/>
      <c r="L26" s="75"/>
      <c r="M26" s="205"/>
    </row>
    <row r="27" spans="1:13" x14ac:dyDescent="0.25">
      <c r="A27" s="75"/>
      <c r="B27" s="75"/>
      <c r="C27" s="75"/>
      <c r="D27" s="75"/>
      <c r="E27" s="75"/>
      <c r="F27" s="75"/>
      <c r="G27" s="75"/>
      <c r="H27" s="47"/>
      <c r="I27" s="47"/>
      <c r="J27" s="47"/>
      <c r="K27" s="75"/>
      <c r="L27" s="75"/>
      <c r="M27" s="75"/>
    </row>
    <row r="28" spans="1:13" ht="13.8" thickBot="1" x14ac:dyDescent="0.3">
      <c r="A28" s="75"/>
      <c r="B28" s="75"/>
      <c r="C28" s="75"/>
      <c r="D28" s="75"/>
      <c r="E28" s="75"/>
      <c r="F28" s="75"/>
      <c r="G28" s="75"/>
      <c r="H28" s="47"/>
      <c r="I28" s="47"/>
      <c r="J28" s="47"/>
      <c r="K28" s="75"/>
      <c r="L28" s="75"/>
      <c r="M28" s="75"/>
    </row>
    <row r="29" spans="1:13" ht="17.399999999999999" x14ac:dyDescent="0.3">
      <c r="A29" s="75"/>
      <c r="B29" s="243"/>
      <c r="C29" s="121" t="s">
        <v>61</v>
      </c>
      <c r="D29" s="293" t="s">
        <v>102</v>
      </c>
      <c r="E29" s="293"/>
      <c r="F29" s="293"/>
      <c r="G29" s="293"/>
      <c r="H29" s="293"/>
      <c r="I29" s="293"/>
      <c r="J29" s="293"/>
      <c r="K29" s="293"/>
      <c r="L29" s="294"/>
      <c r="M29" s="75"/>
    </row>
    <row r="30" spans="1:13" ht="18" thickBot="1" x14ac:dyDescent="0.35">
      <c r="A30" s="75"/>
      <c r="B30" s="244"/>
      <c r="C30" s="239"/>
      <c r="D30" s="126" t="s">
        <v>59</v>
      </c>
      <c r="E30" s="126" t="s">
        <v>70</v>
      </c>
      <c r="F30" s="126" t="s">
        <v>71</v>
      </c>
      <c r="G30" s="126" t="s">
        <v>72</v>
      </c>
      <c r="H30" s="126" t="s">
        <v>73</v>
      </c>
      <c r="I30" s="127" t="s">
        <v>74</v>
      </c>
      <c r="J30" s="150" t="s">
        <v>75</v>
      </c>
      <c r="K30" s="166" t="s">
        <v>76</v>
      </c>
      <c r="L30" s="167" t="s">
        <v>77</v>
      </c>
      <c r="M30" s="75"/>
    </row>
    <row r="31" spans="1:13" ht="17.399999999999999" x14ac:dyDescent="0.3">
      <c r="A31" s="75"/>
      <c r="B31" s="244"/>
      <c r="C31" s="240"/>
      <c r="D31" s="130" t="s">
        <v>36</v>
      </c>
      <c r="E31" s="128" t="s">
        <v>37</v>
      </c>
      <c r="F31" s="128" t="s">
        <v>63</v>
      </c>
      <c r="G31" s="134" t="s">
        <v>36</v>
      </c>
      <c r="H31" s="134" t="s">
        <v>37</v>
      </c>
      <c r="I31" s="176" t="s">
        <v>67</v>
      </c>
      <c r="J31" s="80"/>
      <c r="K31" s="295" t="s">
        <v>47</v>
      </c>
      <c r="L31" s="306"/>
      <c r="M31" s="75"/>
    </row>
    <row r="32" spans="1:13" ht="18" thickBot="1" x14ac:dyDescent="0.35">
      <c r="A32" s="75"/>
      <c r="B32" s="244"/>
      <c r="C32" s="241" t="s">
        <v>25</v>
      </c>
      <c r="D32" s="144" t="s">
        <v>7</v>
      </c>
      <c r="E32" s="145" t="s">
        <v>38</v>
      </c>
      <c r="F32" s="145" t="s">
        <v>64</v>
      </c>
      <c r="G32" s="146" t="s">
        <v>1</v>
      </c>
      <c r="H32" s="146" t="s">
        <v>66</v>
      </c>
      <c r="I32" s="177" t="s">
        <v>68</v>
      </c>
      <c r="J32" s="73"/>
      <c r="K32" s="97" t="s">
        <v>45</v>
      </c>
      <c r="L32" s="138" t="s">
        <v>46</v>
      </c>
      <c r="M32" s="75"/>
    </row>
    <row r="33" spans="1:16" ht="17.399999999999999" x14ac:dyDescent="0.3">
      <c r="A33" s="75"/>
      <c r="B33" s="161">
        <v>1</v>
      </c>
      <c r="C33" s="242" t="s">
        <v>20</v>
      </c>
      <c r="D33" s="142">
        <f t="shared" ref="D33:D38" si="7">F18-H18</f>
        <v>2792499.723307034</v>
      </c>
      <c r="E33" s="136">
        <f t="shared" ref="E33:E38" si="8">(F6*D33)/1000000</f>
        <v>165.14</v>
      </c>
      <c r="F33" s="210">
        <f t="shared" ref="F33:F38" si="9">(E33/$E$39)*100</f>
        <v>98.819006950960301</v>
      </c>
      <c r="G33" s="143"/>
      <c r="H33" s="182">
        <f t="shared" ref="H33:H38" si="10">(H6*F33)/100</f>
        <v>998.07197020469903</v>
      </c>
      <c r="I33" s="178"/>
      <c r="J33" s="109" t="s">
        <v>79</v>
      </c>
      <c r="K33" s="91">
        <f>G26*1000</f>
        <v>200000</v>
      </c>
      <c r="L33" s="139">
        <f>E39*1000</f>
        <v>167113.59999999998</v>
      </c>
      <c r="M33" s="75"/>
    </row>
    <row r="34" spans="1:16" ht="17.399999999999999" x14ac:dyDescent="0.3">
      <c r="A34" s="75"/>
      <c r="B34" s="161">
        <v>2</v>
      </c>
      <c r="C34" s="242" t="s">
        <v>15</v>
      </c>
      <c r="D34" s="131">
        <f t="shared" si="7"/>
        <v>48816.781823643774</v>
      </c>
      <c r="E34" s="76">
        <f t="shared" si="8"/>
        <v>1.829999999999999</v>
      </c>
      <c r="F34" s="211">
        <f t="shared" si="9"/>
        <v>1.09506347777799</v>
      </c>
      <c r="G34" s="213">
        <f>(G7/100)*F34</f>
        <v>0.29211734905862702</v>
      </c>
      <c r="H34" s="183">
        <f t="shared" si="10"/>
        <v>19.249656950916346</v>
      </c>
      <c r="I34" s="179">
        <f>(D7*H19)/1000000</f>
        <v>28951.915246493903</v>
      </c>
      <c r="J34" s="109" t="s">
        <v>107</v>
      </c>
      <c r="K34" s="137">
        <f>K25/1000</f>
        <v>1.2196869726782822</v>
      </c>
      <c r="L34" s="140">
        <f>H39/1000</f>
        <v>1.0200130418470188</v>
      </c>
      <c r="M34" s="75"/>
    </row>
    <row r="35" spans="1:16" ht="17.399999999999999" x14ac:dyDescent="0.3">
      <c r="A35" s="75"/>
      <c r="B35" s="161">
        <v>3</v>
      </c>
      <c r="C35" s="242" t="s">
        <v>16</v>
      </c>
      <c r="D35" s="131">
        <f t="shared" si="7"/>
        <v>1687.2452448337572</v>
      </c>
      <c r="E35" s="76">
        <f t="shared" si="8"/>
        <v>6.1400000000000371E-2</v>
      </c>
      <c r="F35" s="211">
        <f t="shared" si="9"/>
        <v>3.6741474063152472E-2</v>
      </c>
      <c r="G35" s="213">
        <f>(G8/100)*F35</f>
        <v>1.0096396970885418E-2</v>
      </c>
      <c r="H35" s="183">
        <f t="shared" si="10"/>
        <v>0.91751007472921231</v>
      </c>
      <c r="I35" s="179">
        <f>(D8*H20)/1000000</f>
        <v>15179.512750802409</v>
      </c>
      <c r="J35" s="109" t="s">
        <v>98</v>
      </c>
      <c r="K35" s="91">
        <f>K33*K34</f>
        <v>243937.39453565644</v>
      </c>
      <c r="L35" s="139">
        <f>L33*L34</f>
        <v>170458.05147000594</v>
      </c>
      <c r="M35" s="75"/>
    </row>
    <row r="36" spans="1:16" ht="17.399999999999999" x14ac:dyDescent="0.3">
      <c r="A36" s="75"/>
      <c r="B36" s="161">
        <v>4</v>
      </c>
      <c r="C36" s="242" t="s">
        <v>18</v>
      </c>
      <c r="D36" s="131">
        <f t="shared" si="7"/>
        <v>622.62083577086742</v>
      </c>
      <c r="E36" s="76">
        <f t="shared" si="8"/>
        <v>1.9800000000000029E-2</v>
      </c>
      <c r="F36" s="211">
        <f t="shared" si="9"/>
        <v>1.1848227792352046E-2</v>
      </c>
      <c r="G36" s="213">
        <f>(G9/100)*F36</f>
        <v>3.7257340860999189E-3</v>
      </c>
      <c r="H36" s="183">
        <f t="shared" si="10"/>
        <v>0.38356432416398667</v>
      </c>
      <c r="I36" s="179">
        <f>(D9*H21)/1000000</f>
        <v>6345.7826892184594</v>
      </c>
      <c r="J36" s="109"/>
      <c r="K36" s="92"/>
      <c r="L36" s="141"/>
      <c r="M36" s="75"/>
    </row>
    <row r="37" spans="1:16" ht="17.399999999999999" x14ac:dyDescent="0.3">
      <c r="A37" s="75"/>
      <c r="B37" s="161">
        <v>5</v>
      </c>
      <c r="C37" s="242" t="s">
        <v>17</v>
      </c>
      <c r="D37" s="131">
        <f t="shared" si="7"/>
        <v>691.95166042131314</v>
      </c>
      <c r="E37" s="76">
        <f t="shared" si="8"/>
        <v>2.1200000000000063E-2</v>
      </c>
      <c r="F37" s="211">
        <f t="shared" si="9"/>
        <v>1.2685981272619383E-2</v>
      </c>
      <c r="G37" s="213">
        <f>(G10/100)*F37</f>
        <v>4.1406065121050179E-3</v>
      </c>
      <c r="H37" s="183">
        <f t="shared" si="10"/>
        <v>0.40960535860347685</v>
      </c>
      <c r="I37" s="179">
        <f>(D10*H22)/1000000</f>
        <v>6776.6119794962597</v>
      </c>
      <c r="J37" s="109" t="s">
        <v>80</v>
      </c>
      <c r="K37" s="287">
        <f>K35</f>
        <v>243937.39453565644</v>
      </c>
      <c r="L37" s="288"/>
      <c r="M37" s="75"/>
    </row>
    <row r="38" spans="1:16" ht="17.399999999999999" x14ac:dyDescent="0.3">
      <c r="A38" s="75"/>
      <c r="B38" s="162">
        <v>6</v>
      </c>
      <c r="C38" s="242" t="s">
        <v>35</v>
      </c>
      <c r="D38" s="132">
        <f t="shared" si="7"/>
        <v>1489.6759266579174</v>
      </c>
      <c r="E38" s="125">
        <f t="shared" si="8"/>
        <v>4.1199999999999994E-2</v>
      </c>
      <c r="F38" s="212">
        <f t="shared" si="9"/>
        <v>2.4653888133580985E-2</v>
      </c>
      <c r="G38" s="214">
        <f>(G11/100)*F38</f>
        <v>8.9141513716293457E-3</v>
      </c>
      <c r="H38" s="184">
        <f t="shared" si="10"/>
        <v>0.98073493390666044</v>
      </c>
      <c r="I38" s="179">
        <f>(D11*H23)/1000000</f>
        <v>16225.520399639508</v>
      </c>
      <c r="J38" s="109" t="s">
        <v>81</v>
      </c>
      <c r="K38" s="289">
        <f>-I39</f>
        <v>-73479.343065650537</v>
      </c>
      <c r="L38" s="290"/>
      <c r="M38" s="75"/>
    </row>
    <row r="39" spans="1:16" ht="17.399999999999999" x14ac:dyDescent="0.3">
      <c r="A39" s="75"/>
      <c r="B39" s="161">
        <v>7</v>
      </c>
      <c r="C39" s="219" t="s">
        <v>86</v>
      </c>
      <c r="D39" s="131">
        <f>SUM(D33:D38)</f>
        <v>2845807.9987983615</v>
      </c>
      <c r="E39" s="76">
        <f>SUM(E33:E38)</f>
        <v>167.11359999999999</v>
      </c>
      <c r="F39" s="76">
        <f>SUM(F33:F38)</f>
        <v>100</v>
      </c>
      <c r="G39" s="135">
        <f>SUM(G34:G38)</f>
        <v>0.31899423799934673</v>
      </c>
      <c r="H39" s="183">
        <f>SUM(H33:H38)</f>
        <v>1020.0130418470187</v>
      </c>
      <c r="I39" s="180">
        <f>SUM(I34:I38)</f>
        <v>73479.343065650537</v>
      </c>
      <c r="J39" s="109" t="s">
        <v>82</v>
      </c>
      <c r="K39" s="289">
        <f>-L35</f>
        <v>-170458.05147000594</v>
      </c>
      <c r="L39" s="290"/>
      <c r="M39" s="206"/>
    </row>
    <row r="40" spans="1:16" ht="18" thickBot="1" x14ac:dyDescent="0.35">
      <c r="A40" s="75"/>
      <c r="B40" s="164">
        <v>8</v>
      </c>
      <c r="C40" s="60"/>
      <c r="D40" s="133" t="s">
        <v>65</v>
      </c>
      <c r="E40" s="129"/>
      <c r="F40" s="87">
        <f>G26-E39</f>
        <v>32.886400000000009</v>
      </c>
      <c r="G40" s="129"/>
      <c r="H40" s="175"/>
      <c r="I40" s="181"/>
      <c r="J40" s="149" t="s">
        <v>69</v>
      </c>
      <c r="K40" s="147">
        <f>K37+K38+K39</f>
        <v>0</v>
      </c>
      <c r="L40" s="148"/>
      <c r="M40" s="207"/>
    </row>
    <row r="41" spans="1:16" ht="17.399999999999999" x14ac:dyDescent="0.3">
      <c r="A41" s="75"/>
      <c r="B41" s="205"/>
      <c r="C41" s="205"/>
      <c r="D41" s="205"/>
      <c r="E41" s="215"/>
      <c r="F41" s="215"/>
      <c r="G41" s="215"/>
      <c r="H41" s="215"/>
      <c r="I41" s="216"/>
      <c r="J41" s="217"/>
      <c r="K41" s="218"/>
      <c r="L41" s="218"/>
      <c r="M41" s="207"/>
      <c r="N41" s="75"/>
    </row>
    <row r="42" spans="1:16" ht="13.8" thickBot="1" x14ac:dyDescent="0.3">
      <c r="A42" s="75"/>
      <c r="B42" s="75"/>
      <c r="C42" s="75"/>
      <c r="D42" s="75"/>
      <c r="E42" s="75"/>
      <c r="F42" s="75"/>
      <c r="G42" s="75"/>
      <c r="H42" s="47"/>
      <c r="I42" s="47"/>
      <c r="J42" s="47"/>
      <c r="K42" s="75"/>
      <c r="L42" s="75"/>
      <c r="M42" s="75"/>
      <c r="N42" s="75"/>
    </row>
    <row r="43" spans="1:16" ht="18" thickBot="1" x14ac:dyDescent="0.35">
      <c r="A43" s="75"/>
      <c r="B43" s="117"/>
      <c r="C43" s="121" t="s">
        <v>62</v>
      </c>
      <c r="D43" s="119"/>
      <c r="E43" s="119"/>
      <c r="F43" s="118" t="s">
        <v>103</v>
      </c>
      <c r="G43" s="119"/>
      <c r="H43" s="119"/>
      <c r="I43" s="119"/>
      <c r="J43" s="119"/>
      <c r="K43" s="119"/>
      <c r="L43" s="120"/>
      <c r="M43" s="208"/>
    </row>
    <row r="44" spans="1:16" ht="18" thickBot="1" x14ac:dyDescent="0.35">
      <c r="A44" s="75"/>
      <c r="B44" s="112"/>
      <c r="C44" s="116"/>
      <c r="D44" s="84" t="s">
        <v>50</v>
      </c>
      <c r="E44" s="85" t="s">
        <v>51</v>
      </c>
      <c r="F44" s="85" t="s">
        <v>52</v>
      </c>
      <c r="G44" s="85" t="s">
        <v>53</v>
      </c>
      <c r="H44" s="85" t="s">
        <v>54</v>
      </c>
      <c r="I44" s="85" t="s">
        <v>55</v>
      </c>
      <c r="J44" s="111" t="s">
        <v>57</v>
      </c>
      <c r="K44" s="111" t="s">
        <v>58</v>
      </c>
      <c r="L44" s="86" t="s">
        <v>59</v>
      </c>
      <c r="M44" s="75"/>
    </row>
    <row r="45" spans="1:16" ht="17.399999999999999" x14ac:dyDescent="0.3">
      <c r="A45" s="75"/>
      <c r="B45" s="112"/>
      <c r="C45" s="168"/>
      <c r="D45" s="297" t="s">
        <v>44</v>
      </c>
      <c r="E45" s="298"/>
      <c r="F45" s="298"/>
      <c r="G45" s="299"/>
      <c r="H45" s="105" t="s">
        <v>42</v>
      </c>
      <c r="I45" s="80"/>
      <c r="J45" s="295" t="s">
        <v>47</v>
      </c>
      <c r="K45" s="296"/>
      <c r="L45" s="96" t="s">
        <v>97</v>
      </c>
      <c r="M45" s="75"/>
    </row>
    <row r="46" spans="1:16" ht="21" thickBot="1" x14ac:dyDescent="0.4">
      <c r="A46" s="75"/>
      <c r="B46" s="112"/>
      <c r="C46" s="169" t="s">
        <v>25</v>
      </c>
      <c r="D46" s="172" t="s">
        <v>41</v>
      </c>
      <c r="E46" s="100" t="s">
        <v>39</v>
      </c>
      <c r="F46" s="101" t="s">
        <v>49</v>
      </c>
      <c r="G46" s="100" t="s">
        <v>40</v>
      </c>
      <c r="H46" s="106" t="s">
        <v>43</v>
      </c>
      <c r="I46" s="73"/>
      <c r="J46" s="97" t="s">
        <v>45</v>
      </c>
      <c r="K46" s="98" t="s">
        <v>46</v>
      </c>
      <c r="L46" s="99" t="s">
        <v>48</v>
      </c>
      <c r="M46" s="209"/>
      <c r="P46" s="255"/>
    </row>
    <row r="47" spans="1:16" ht="17.399999999999999" x14ac:dyDescent="0.3">
      <c r="A47" s="75"/>
      <c r="B47" s="113">
        <v>1</v>
      </c>
      <c r="C47" s="170" t="s">
        <v>20</v>
      </c>
      <c r="D47" s="253">
        <v>3.5659999999999998</v>
      </c>
      <c r="E47" s="261"/>
      <c r="F47" s="250">
        <v>10</v>
      </c>
      <c r="G47" s="95"/>
      <c r="H47" s="107"/>
      <c r="I47" s="109" t="s">
        <v>79</v>
      </c>
      <c r="J47" s="91">
        <f>G26*1000</f>
        <v>200000</v>
      </c>
      <c r="K47" s="78">
        <f>E39*1000</f>
        <v>167113.59999999998</v>
      </c>
      <c r="L47" s="103"/>
      <c r="M47" s="209"/>
    </row>
    <row r="48" spans="1:16" ht="20.399999999999999" x14ac:dyDescent="0.35">
      <c r="A48" s="75"/>
      <c r="B48" s="113">
        <v>2</v>
      </c>
      <c r="C48" s="170" t="s">
        <v>15</v>
      </c>
      <c r="D48" s="173">
        <f>(E48/D7)*10000</f>
        <v>3.7653459186305902</v>
      </c>
      <c r="E48" s="251">
        <v>24.8125</v>
      </c>
      <c r="F48" s="102">
        <f>E48-$F$47</f>
        <v>14.8125</v>
      </c>
      <c r="G48" s="88">
        <f>F48/100</f>
        <v>0.14812500000000001</v>
      </c>
      <c r="H48" s="108">
        <f>H19*G48</f>
        <v>65078.872268645151</v>
      </c>
      <c r="I48" s="109" t="s">
        <v>107</v>
      </c>
      <c r="J48" s="114">
        <f>K25/1000</f>
        <v>1.2196869726782822</v>
      </c>
      <c r="K48" s="115">
        <f>H39/1000</f>
        <v>1.0200130418470188</v>
      </c>
      <c r="L48" s="104"/>
      <c r="M48" s="209"/>
      <c r="P48" s="255"/>
    </row>
    <row r="49" spans="1:17" ht="17.399999999999999" x14ac:dyDescent="0.3">
      <c r="A49" s="75"/>
      <c r="B49" s="113">
        <v>3</v>
      </c>
      <c r="C49" s="170" t="s">
        <v>16</v>
      </c>
      <c r="D49" s="173">
        <f>(E49/D8)*10000</f>
        <v>9.0508940852819819</v>
      </c>
      <c r="E49" s="252">
        <v>82.25</v>
      </c>
      <c r="F49" s="102">
        <f>E49-$F$47</f>
        <v>72.25</v>
      </c>
      <c r="G49" s="88">
        <f>F49/100</f>
        <v>0.72250000000000003</v>
      </c>
      <c r="H49" s="108">
        <f>H20*G49</f>
        <v>120684.43424984583</v>
      </c>
      <c r="I49" s="109" t="s">
        <v>98</v>
      </c>
      <c r="J49" s="91">
        <f>J47*J48</f>
        <v>243937.39453565644</v>
      </c>
      <c r="K49" s="78">
        <f>K47*K48</f>
        <v>170458.05147000594</v>
      </c>
      <c r="L49" s="104"/>
      <c r="M49" s="209"/>
      <c r="P49" s="254"/>
    </row>
    <row r="50" spans="1:17" ht="17.399999999999999" x14ac:dyDescent="0.3">
      <c r="A50" s="75"/>
      <c r="B50" s="113">
        <v>4</v>
      </c>
      <c r="C50" s="170" t="s">
        <v>18</v>
      </c>
      <c r="D50" s="173">
        <f>(E50/D9)*10000</f>
        <v>15.905779504613889</v>
      </c>
      <c r="E50" s="252">
        <v>163.75</v>
      </c>
      <c r="F50" s="102">
        <f>E50-$F$47</f>
        <v>153.75</v>
      </c>
      <c r="G50" s="88">
        <f>F50/100</f>
        <v>1.5375000000000001</v>
      </c>
      <c r="H50" s="108">
        <f>H21*G50</f>
        <v>94770.673964773014</v>
      </c>
      <c r="I50" s="109" t="s">
        <v>99</v>
      </c>
      <c r="J50" s="92">
        <f>D47</f>
        <v>3.5659999999999998</v>
      </c>
      <c r="K50" s="90">
        <f>J50</f>
        <v>3.5659999999999998</v>
      </c>
      <c r="L50" s="104"/>
      <c r="M50" s="209"/>
    </row>
    <row r="51" spans="1:17" ht="17.399999999999999" x14ac:dyDescent="0.3">
      <c r="A51" s="75"/>
      <c r="B51" s="113">
        <v>5</v>
      </c>
      <c r="C51" s="170" t="s">
        <v>17</v>
      </c>
      <c r="D51" s="173">
        <f>(E51/D10)*10000</f>
        <v>17.873569608992764</v>
      </c>
      <c r="E51" s="252">
        <v>176.8125</v>
      </c>
      <c r="F51" s="102">
        <f>E51-$F$47</f>
        <v>166.8125</v>
      </c>
      <c r="G51" s="88">
        <f>F51/100</f>
        <v>1.6681250000000001</v>
      </c>
      <c r="H51" s="108">
        <f>H22*G51</f>
        <v>114271.92449048966</v>
      </c>
      <c r="I51" s="110" t="s">
        <v>83</v>
      </c>
      <c r="J51" s="93">
        <f>J49*J50</f>
        <v>869880.74891415075</v>
      </c>
      <c r="K51" s="89">
        <f>K49*K50</f>
        <v>607853.41154204111</v>
      </c>
      <c r="L51" s="104"/>
      <c r="M51" s="209"/>
      <c r="O51"/>
      <c r="P51"/>
      <c r="Q51"/>
    </row>
    <row r="52" spans="1:17" ht="18" thickBot="1" x14ac:dyDescent="0.35">
      <c r="A52" s="75"/>
      <c r="B52" s="274">
        <v>6</v>
      </c>
      <c r="C52" s="170" t="s">
        <v>35</v>
      </c>
      <c r="D52" s="173">
        <f>(E52/D11)*10000</f>
        <v>19.496455189965459</v>
      </c>
      <c r="E52" s="252">
        <v>214.5</v>
      </c>
      <c r="F52" s="102">
        <f>E52-$F$47</f>
        <v>204.5</v>
      </c>
      <c r="G52" s="88">
        <f>F52/100</f>
        <v>2.0449999999999999</v>
      </c>
      <c r="H52" s="108">
        <f>H23*G52</f>
        <v>301592.33973152877</v>
      </c>
      <c r="I52" s="109"/>
      <c r="J52" s="94"/>
      <c r="K52" s="79"/>
      <c r="L52" s="104"/>
      <c r="M52" s="209"/>
      <c r="O52"/>
      <c r="P52"/>
      <c r="Q52"/>
    </row>
    <row r="53" spans="1:17" ht="18" thickBot="1" x14ac:dyDescent="0.35">
      <c r="A53" s="75"/>
      <c r="B53" s="275">
        <v>7</v>
      </c>
      <c r="C53" s="276" t="s">
        <v>86</v>
      </c>
      <c r="D53" s="266"/>
      <c r="E53" s="278"/>
      <c r="F53" s="266"/>
      <c r="G53" s="266"/>
      <c r="H53" s="267">
        <f>SUM(H48:H52)</f>
        <v>696398.24470528238</v>
      </c>
      <c r="I53" s="268"/>
      <c r="J53" s="269">
        <f>-J51</f>
        <v>-869880.74891415075</v>
      </c>
      <c r="K53" s="270">
        <f>K51</f>
        <v>607853.41154204111</v>
      </c>
      <c r="L53" s="124">
        <f>H53+J53+K53</f>
        <v>434370.90733317274</v>
      </c>
      <c r="M53" s="75"/>
      <c r="O53"/>
      <c r="P53"/>
      <c r="Q53"/>
    </row>
    <row r="54" spans="1:17" ht="18" thickBot="1" x14ac:dyDescent="0.35">
      <c r="A54" s="75"/>
      <c r="B54" s="263">
        <v>8</v>
      </c>
      <c r="C54" s="291" t="s">
        <v>108</v>
      </c>
      <c r="D54" s="292"/>
      <c r="E54" s="262">
        <f>(E48-F47)/D7 * 10000</f>
        <v>2.2478261529356423</v>
      </c>
      <c r="F54" s="266"/>
      <c r="G54" s="266"/>
      <c r="H54" s="279"/>
      <c r="I54" s="279"/>
      <c r="J54" s="279"/>
      <c r="K54" s="266"/>
      <c r="L54" s="280"/>
      <c r="M54" s="75"/>
      <c r="O54"/>
      <c r="P54"/>
      <c r="Q54"/>
    </row>
    <row r="55" spans="1:17" x14ac:dyDescent="0.25">
      <c r="A55" s="75"/>
      <c r="B55" s="75"/>
      <c r="C55" s="75"/>
      <c r="D55" s="75"/>
      <c r="E55" s="75"/>
      <c r="F55" s="75"/>
      <c r="G55" s="75"/>
      <c r="H55" s="47"/>
      <c r="I55" s="47"/>
      <c r="J55" s="47"/>
      <c r="K55" s="75"/>
      <c r="L55" s="75"/>
      <c r="M55" s="75"/>
    </row>
    <row r="56" spans="1:17" x14ac:dyDescent="0.25">
      <c r="A56" s="75"/>
      <c r="B56" s="75"/>
      <c r="C56" s="75"/>
      <c r="D56" s="75"/>
      <c r="E56" s="75"/>
      <c r="F56" s="75"/>
      <c r="G56" s="75"/>
      <c r="H56" s="47"/>
      <c r="I56" s="258"/>
      <c r="J56" s="47"/>
      <c r="K56" s="75"/>
      <c r="L56" s="75"/>
      <c r="M56" s="75"/>
    </row>
    <row r="57" spans="1:17" x14ac:dyDescent="0.25">
      <c r="I57" s="259"/>
      <c r="L57" s="260"/>
    </row>
    <row r="60" spans="1:17" x14ac:dyDescent="0.25">
      <c r="K60" s="195"/>
    </row>
    <row r="61" spans="1:17" ht="17.399999999999999" x14ac:dyDescent="0.3">
      <c r="K61" s="257"/>
    </row>
    <row r="1000" spans="52:52" customFormat="1" x14ac:dyDescent="0.25">
      <c r="AZ1000" t="s">
        <v>87</v>
      </c>
    </row>
    <row r="1001" spans="52:52" customFormat="1" x14ac:dyDescent="0.25">
      <c r="AZ1001" s="245">
        <v>41288</v>
      </c>
    </row>
    <row r="1002" spans="52:52" customFormat="1" x14ac:dyDescent="0.25">
      <c r="AZ1002" t="s">
        <v>88</v>
      </c>
    </row>
    <row r="1003" spans="52:52" customFormat="1" x14ac:dyDescent="0.25">
      <c r="AZ1003" t="s">
        <v>89</v>
      </c>
    </row>
    <row r="1004" spans="52:52" customFormat="1" x14ac:dyDescent="0.25">
      <c r="AZ1004" t="s">
        <v>90</v>
      </c>
    </row>
    <row r="1005" spans="52:52" customFormat="1" x14ac:dyDescent="0.25">
      <c r="AZ1005" t="s">
        <v>91</v>
      </c>
    </row>
    <row r="1006" spans="52:52" customFormat="1" x14ac:dyDescent="0.25">
      <c r="AZ1006" t="s">
        <v>92</v>
      </c>
    </row>
    <row r="1007" spans="52:52" customFormat="1" x14ac:dyDescent="0.25">
      <c r="AZ1007" t="s">
        <v>93</v>
      </c>
    </row>
    <row r="1008" spans="52:52" customFormat="1" x14ac:dyDescent="0.25">
      <c r="AZ1008" t="s">
        <v>94</v>
      </c>
    </row>
  </sheetData>
  <mergeCells count="12">
    <mergeCell ref="K38:L38"/>
    <mergeCell ref="K39:L39"/>
    <mergeCell ref="D45:G45"/>
    <mergeCell ref="J45:K45"/>
    <mergeCell ref="K31:L31"/>
    <mergeCell ref="C54:D54"/>
    <mergeCell ref="D2:H2"/>
    <mergeCell ref="E4:E5"/>
    <mergeCell ref="G4:G5"/>
    <mergeCell ref="D14:K14"/>
    <mergeCell ref="D29:L29"/>
    <mergeCell ref="K37:L37"/>
  </mergeCells>
  <conditionalFormatting sqref="E54">
    <cfRule type="cellIs" dxfId="1" priority="1" stopIfTrue="1" operator="lessThan">
      <formula>$D$47</formula>
    </cfRule>
  </conditionalFormatting>
  <hyperlinks>
    <hyperlink ref="J10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5"/>
  <sheetViews>
    <sheetView topLeftCell="A16" zoomScale="50" zoomScaleNormal="50" workbookViewId="0">
      <selection activeCell="U37" sqref="U37"/>
    </sheetView>
  </sheetViews>
  <sheetFormatPr defaultRowHeight="13.2" x14ac:dyDescent="0.25"/>
  <cols>
    <col min="1" max="1" width="4.21875" customWidth="1"/>
    <col min="2" max="2" width="4.109375" customWidth="1"/>
    <col min="3" max="3" width="20.6640625" customWidth="1"/>
    <col min="4" max="4" width="15.21875" customWidth="1"/>
    <col min="5" max="5" width="17.109375" customWidth="1"/>
    <col min="6" max="6" width="15.21875" customWidth="1"/>
    <col min="7" max="7" width="13.6640625" customWidth="1"/>
    <col min="8" max="8" width="18.33203125" style="1" customWidth="1"/>
    <col min="9" max="9" width="22.6640625" style="1" customWidth="1"/>
    <col min="10" max="10" width="24.33203125" style="1" customWidth="1"/>
    <col min="11" max="11" width="16.77734375" customWidth="1"/>
    <col min="12" max="12" width="16.88671875" customWidth="1"/>
    <col min="13" max="13" width="3.77734375" customWidth="1"/>
    <col min="14" max="14" width="8.33203125" customWidth="1"/>
    <col min="15" max="15" width="9.109375" style="2" bestFit="1" customWidth="1"/>
    <col min="16" max="16" width="10.44140625" style="2" bestFit="1" customWidth="1"/>
    <col min="17" max="17" width="4.5546875" style="1" customWidth="1"/>
    <col min="18" max="18" width="13.33203125" customWidth="1"/>
    <col min="19" max="19" width="11.44140625" customWidth="1"/>
    <col min="52" max="52" width="15.44140625" bestFit="1" customWidth="1"/>
  </cols>
  <sheetData>
    <row r="1" spans="1:17" ht="13.8" thickBot="1" x14ac:dyDescent="0.3">
      <c r="A1" s="75"/>
      <c r="B1" s="75"/>
      <c r="C1" s="75"/>
      <c r="D1" s="75"/>
      <c r="E1" s="75"/>
      <c r="F1" s="75"/>
      <c r="G1" s="75"/>
      <c r="H1" s="47"/>
      <c r="I1" s="47"/>
      <c r="J1" s="47"/>
      <c r="K1" s="75"/>
      <c r="L1" s="75"/>
      <c r="M1" s="75"/>
    </row>
    <row r="2" spans="1:17" s="75" customFormat="1" ht="17.399999999999999" x14ac:dyDescent="0.3">
      <c r="B2" s="243"/>
      <c r="C2" s="196" t="s">
        <v>84</v>
      </c>
      <c r="D2" s="293" t="s">
        <v>85</v>
      </c>
      <c r="E2" s="293"/>
      <c r="F2" s="293"/>
      <c r="G2" s="293"/>
      <c r="H2" s="294"/>
      <c r="I2" s="220"/>
      <c r="J2" s="221"/>
      <c r="K2" s="222"/>
      <c r="O2" s="48"/>
      <c r="P2" s="48"/>
      <c r="Q2" s="47"/>
    </row>
    <row r="3" spans="1:17" s="45" customFormat="1" ht="17.399999999999999" x14ac:dyDescent="0.3">
      <c r="A3" s="186"/>
      <c r="B3" s="244"/>
      <c r="C3" s="62" t="s">
        <v>27</v>
      </c>
      <c r="D3" s="63" t="s">
        <v>28</v>
      </c>
      <c r="E3" s="63" t="s">
        <v>29</v>
      </c>
      <c r="F3" s="63" t="s">
        <v>30</v>
      </c>
      <c r="G3" s="63" t="s">
        <v>31</v>
      </c>
      <c r="H3" s="64" t="s">
        <v>32</v>
      </c>
      <c r="I3" s="223"/>
      <c r="J3" s="224"/>
      <c r="K3" s="225"/>
      <c r="L3" s="186"/>
      <c r="M3" s="186"/>
    </row>
    <row r="4" spans="1:17" ht="22.8" x14ac:dyDescent="0.4">
      <c r="A4" s="75"/>
      <c r="B4" s="244"/>
      <c r="C4" s="72" t="s">
        <v>33</v>
      </c>
      <c r="D4" s="71">
        <v>379.48200000000003</v>
      </c>
      <c r="E4" s="302" t="s">
        <v>4</v>
      </c>
      <c r="F4" s="65" t="s">
        <v>23</v>
      </c>
      <c r="G4" s="304" t="s">
        <v>24</v>
      </c>
      <c r="H4" s="66" t="s">
        <v>8</v>
      </c>
      <c r="I4" s="226"/>
      <c r="J4" s="227"/>
      <c r="K4" s="228"/>
      <c r="L4" s="75"/>
      <c r="M4" s="75"/>
    </row>
    <row r="5" spans="1:17" ht="18" thickBot="1" x14ac:dyDescent="0.35">
      <c r="A5" s="75"/>
      <c r="B5" s="244"/>
      <c r="C5" s="70"/>
      <c r="D5" s="69" t="s">
        <v>11</v>
      </c>
      <c r="E5" s="303"/>
      <c r="F5" s="67" t="s">
        <v>22</v>
      </c>
      <c r="G5" s="305"/>
      <c r="H5" s="68" t="s">
        <v>9</v>
      </c>
      <c r="I5" s="229"/>
      <c r="J5" s="230"/>
      <c r="K5" s="228"/>
      <c r="L5" s="75"/>
      <c r="M5" s="75"/>
    </row>
    <row r="6" spans="1:17" ht="17.399999999999999" x14ac:dyDescent="0.3">
      <c r="A6" s="75"/>
      <c r="B6" s="161">
        <v>1</v>
      </c>
      <c r="C6" s="24" t="s">
        <v>20</v>
      </c>
      <c r="D6" s="26"/>
      <c r="E6" s="19">
        <v>6.4169999999999998</v>
      </c>
      <c r="F6" s="20">
        <f t="shared" ref="F6:F11" si="0">$D$4/E6</f>
        <v>59.136979897148208</v>
      </c>
      <c r="G6" s="6">
        <f t="shared" ref="G6:G11" si="1">(E6/$D$4)*1000</f>
        <v>16.90989295934985</v>
      </c>
      <c r="H6" s="21">
        <v>1010</v>
      </c>
      <c r="I6" s="223"/>
      <c r="J6" s="231"/>
      <c r="K6" s="232"/>
      <c r="L6" s="187"/>
      <c r="M6" s="201"/>
    </row>
    <row r="7" spans="1:17" ht="17.399999999999999" x14ac:dyDescent="0.3">
      <c r="A7" s="75"/>
      <c r="B7" s="161">
        <v>2</v>
      </c>
      <c r="C7" s="24" t="s">
        <v>15</v>
      </c>
      <c r="D7" s="27">
        <v>65897</v>
      </c>
      <c r="E7" s="5">
        <v>10.122999999999999</v>
      </c>
      <c r="F7" s="6">
        <f t="shared" si="0"/>
        <v>37.487108564654754</v>
      </c>
      <c r="G7" s="6">
        <f t="shared" si="1"/>
        <v>26.675837062100438</v>
      </c>
      <c r="H7" s="15">
        <f>D7/F7</f>
        <v>1757.8576348812326</v>
      </c>
      <c r="I7" s="223"/>
      <c r="J7" s="233"/>
      <c r="K7" s="228"/>
      <c r="L7" s="75"/>
      <c r="M7" s="75"/>
      <c r="N7" s="4"/>
    </row>
    <row r="8" spans="1:17" ht="17.399999999999999" x14ac:dyDescent="0.3">
      <c r="A8" s="75"/>
      <c r="B8" s="161">
        <v>3</v>
      </c>
      <c r="C8" s="24" t="s">
        <v>16</v>
      </c>
      <c r="D8" s="27">
        <v>90875</v>
      </c>
      <c r="E8" s="5">
        <v>10.428000000000001</v>
      </c>
      <c r="F8" s="6">
        <f t="shared" si="0"/>
        <v>36.390678941311855</v>
      </c>
      <c r="G8" s="6">
        <f t="shared" si="1"/>
        <v>27.47956424810663</v>
      </c>
      <c r="H8" s="15">
        <f>D8/F8</f>
        <v>2497.20540104669</v>
      </c>
      <c r="I8" s="226"/>
      <c r="J8" s="246" t="s">
        <v>95</v>
      </c>
      <c r="K8" s="228"/>
      <c r="L8" s="188"/>
      <c r="M8" s="75"/>
      <c r="N8" s="4"/>
    </row>
    <row r="9" spans="1:17" ht="17.399999999999999" x14ac:dyDescent="0.3">
      <c r="A9" s="75"/>
      <c r="B9" s="161">
        <v>4</v>
      </c>
      <c r="C9" s="24" t="s">
        <v>18</v>
      </c>
      <c r="D9" s="27">
        <v>102950</v>
      </c>
      <c r="E9" s="5">
        <v>11.933</v>
      </c>
      <c r="F9" s="6">
        <f t="shared" si="0"/>
        <v>31.801055895416077</v>
      </c>
      <c r="G9" s="6">
        <f t="shared" si="1"/>
        <v>31.445496756104369</v>
      </c>
      <c r="H9" s="15">
        <f>D9/F9</f>
        <v>3237.3138910409448</v>
      </c>
      <c r="I9" s="223"/>
      <c r="J9" s="247">
        <v>41295</v>
      </c>
      <c r="K9" s="228"/>
      <c r="L9" s="75"/>
      <c r="M9" s="75"/>
      <c r="N9" s="4"/>
    </row>
    <row r="10" spans="1:17" ht="17.399999999999999" x14ac:dyDescent="0.3">
      <c r="A10" s="75"/>
      <c r="B10" s="161">
        <v>5</v>
      </c>
      <c r="C10" s="24" t="s">
        <v>17</v>
      </c>
      <c r="D10" s="27">
        <v>98924</v>
      </c>
      <c r="E10" s="5">
        <v>12.385999999999999</v>
      </c>
      <c r="F10" s="6">
        <f t="shared" si="0"/>
        <v>30.637978362667532</v>
      </c>
      <c r="G10" s="6">
        <f t="shared" si="1"/>
        <v>32.639229265156182</v>
      </c>
      <c r="H10" s="15">
        <f>D10/F10</f>
        <v>3228.8031158263102</v>
      </c>
      <c r="I10" s="223"/>
      <c r="J10" s="248" t="s">
        <v>96</v>
      </c>
      <c r="K10" s="228"/>
      <c r="L10" s="189"/>
      <c r="M10" s="189"/>
      <c r="N10" s="4"/>
    </row>
    <row r="11" spans="1:17" ht="18" thickBot="1" x14ac:dyDescent="0.35">
      <c r="A11" s="75"/>
      <c r="B11" s="165">
        <v>6</v>
      </c>
      <c r="C11" s="25" t="s">
        <v>19</v>
      </c>
      <c r="D11" s="28">
        <v>110020</v>
      </c>
      <c r="E11" s="16">
        <v>13.721</v>
      </c>
      <c r="F11" s="17">
        <f t="shared" si="0"/>
        <v>27.657022082938564</v>
      </c>
      <c r="G11" s="17">
        <f t="shared" si="1"/>
        <v>36.157182685871796</v>
      </c>
      <c r="H11" s="18">
        <f>D11/F11</f>
        <v>3978.0132390996146</v>
      </c>
      <c r="I11" s="234"/>
      <c r="J11" s="235"/>
      <c r="K11" s="236"/>
      <c r="L11" s="75"/>
      <c r="M11" s="75"/>
      <c r="N11" s="4"/>
    </row>
    <row r="12" spans="1:17" ht="17.399999999999999" x14ac:dyDescent="0.3">
      <c r="A12" s="75"/>
      <c r="B12" s="75"/>
      <c r="C12" s="192"/>
      <c r="D12" s="185"/>
      <c r="E12" s="193"/>
      <c r="F12" s="194"/>
      <c r="G12" s="194"/>
      <c r="H12" s="185"/>
      <c r="I12" s="185"/>
      <c r="J12" s="195"/>
      <c r="K12" s="75"/>
      <c r="L12" s="190"/>
      <c r="M12" s="189"/>
      <c r="N12" s="4"/>
    </row>
    <row r="13" spans="1:17" ht="13.8" thickBot="1" x14ac:dyDescent="0.3">
      <c r="A13" s="75"/>
      <c r="B13" s="75"/>
      <c r="C13" s="75"/>
      <c r="D13" s="47">
        <v>1</v>
      </c>
      <c r="E13" s="47">
        <v>2</v>
      </c>
      <c r="F13" s="47">
        <v>3</v>
      </c>
      <c r="G13" s="47">
        <v>4</v>
      </c>
      <c r="H13" s="47">
        <v>5</v>
      </c>
      <c r="I13" s="47">
        <v>6</v>
      </c>
      <c r="J13" s="47">
        <v>7</v>
      </c>
      <c r="K13" s="47">
        <v>8</v>
      </c>
      <c r="L13" s="191"/>
      <c r="M13" s="75"/>
      <c r="N13" s="3"/>
    </row>
    <row r="14" spans="1:17" ht="17.399999999999999" x14ac:dyDescent="0.3">
      <c r="A14" s="75"/>
      <c r="B14" s="243"/>
      <c r="C14" s="238" t="s">
        <v>60</v>
      </c>
      <c r="D14" s="300" t="s">
        <v>78</v>
      </c>
      <c r="E14" s="300"/>
      <c r="F14" s="300"/>
      <c r="G14" s="300"/>
      <c r="H14" s="300"/>
      <c r="I14" s="300"/>
      <c r="J14" s="300"/>
      <c r="K14" s="301"/>
      <c r="L14" s="174"/>
      <c r="M14" s="174"/>
    </row>
    <row r="15" spans="1:17" ht="18" thickBot="1" x14ac:dyDescent="0.35">
      <c r="A15" s="75"/>
      <c r="B15" s="244"/>
      <c r="C15" s="160"/>
      <c r="D15" s="84" t="s">
        <v>50</v>
      </c>
      <c r="E15" s="85" t="s">
        <v>51</v>
      </c>
      <c r="F15" s="85" t="s">
        <v>52</v>
      </c>
      <c r="G15" s="85" t="s">
        <v>53</v>
      </c>
      <c r="H15" s="85" t="s">
        <v>54</v>
      </c>
      <c r="I15" s="85" t="s">
        <v>55</v>
      </c>
      <c r="J15" s="85" t="s">
        <v>57</v>
      </c>
      <c r="K15" s="86" t="s">
        <v>58</v>
      </c>
      <c r="L15" s="191"/>
      <c r="M15" s="202"/>
    </row>
    <row r="16" spans="1:17" ht="17.399999999999999" x14ac:dyDescent="0.3">
      <c r="A16" s="75"/>
      <c r="B16" s="244"/>
      <c r="C16" s="168"/>
      <c r="D16" s="81"/>
      <c r="E16" s="122" t="s">
        <v>0</v>
      </c>
      <c r="F16" s="249"/>
      <c r="G16" s="32" t="s">
        <v>5</v>
      </c>
      <c r="H16" s="33" t="s">
        <v>13</v>
      </c>
      <c r="I16" s="34" t="s">
        <v>13</v>
      </c>
      <c r="J16" s="35" t="s">
        <v>21</v>
      </c>
      <c r="K16" s="36" t="s">
        <v>10</v>
      </c>
      <c r="L16" s="191"/>
      <c r="M16" s="203"/>
    </row>
    <row r="17" spans="1:13" ht="18" thickBot="1" x14ac:dyDescent="0.35">
      <c r="A17" s="75"/>
      <c r="B17" s="244"/>
      <c r="C17" s="169" t="s">
        <v>25</v>
      </c>
      <c r="D17" s="54" t="s">
        <v>3</v>
      </c>
      <c r="E17" s="37" t="s">
        <v>1</v>
      </c>
      <c r="F17" s="38" t="s">
        <v>2</v>
      </c>
      <c r="G17" s="39" t="s">
        <v>6</v>
      </c>
      <c r="H17" s="40" t="s">
        <v>7</v>
      </c>
      <c r="I17" s="41" t="s">
        <v>14</v>
      </c>
      <c r="J17" s="42" t="s">
        <v>13</v>
      </c>
      <c r="K17" s="43" t="s">
        <v>34</v>
      </c>
      <c r="L17" s="75"/>
      <c r="M17" s="203"/>
    </row>
    <row r="18" spans="1:13" ht="17.399999999999999" x14ac:dyDescent="0.3">
      <c r="A18" s="75"/>
      <c r="B18" s="161">
        <v>1</v>
      </c>
      <c r="C18" s="170" t="s">
        <v>20</v>
      </c>
      <c r="D18" s="49">
        <v>73.459999999999994</v>
      </c>
      <c r="E18" s="44">
        <f t="shared" ref="E18:E23" si="2">G6*D18/100</f>
        <v>12.422007367938399</v>
      </c>
      <c r="F18" s="7">
        <f t="shared" ref="F18:F23" si="3">(E18*$G$26)*1000</f>
        <v>2484401.4735876797</v>
      </c>
      <c r="G18" s="29">
        <v>0</v>
      </c>
      <c r="H18" s="30">
        <f t="shared" ref="H18:H23" si="4">G18*F18</f>
        <v>0</v>
      </c>
      <c r="I18" s="31">
        <f t="shared" ref="I18:I23" si="5">H18/42</f>
        <v>0</v>
      </c>
      <c r="J18" s="77"/>
      <c r="K18" s="55">
        <f t="shared" ref="K18:K23" si="6">(H6*D18)/100</f>
        <v>741.94599999999991</v>
      </c>
      <c r="L18" s="75"/>
      <c r="M18" s="185"/>
    </row>
    <row r="19" spans="1:13" ht="17.399999999999999" x14ac:dyDescent="0.3">
      <c r="A19" s="75"/>
      <c r="B19" s="161">
        <v>2</v>
      </c>
      <c r="C19" s="170" t="s">
        <v>15</v>
      </c>
      <c r="D19" s="50">
        <v>15.87</v>
      </c>
      <c r="E19" s="44">
        <f t="shared" si="2"/>
        <v>4.2334553417553398</v>
      </c>
      <c r="F19" s="7">
        <f t="shared" si="3"/>
        <v>846691.06835106795</v>
      </c>
      <c r="G19" s="8">
        <v>0</v>
      </c>
      <c r="H19" s="23">
        <f t="shared" si="4"/>
        <v>0</v>
      </c>
      <c r="I19" s="7">
        <f t="shared" si="5"/>
        <v>0</v>
      </c>
      <c r="J19" s="9">
        <f>I19/$I$25</f>
        <v>0</v>
      </c>
      <c r="K19" s="56">
        <f t="shared" si="6"/>
        <v>278.97200665565163</v>
      </c>
      <c r="L19" s="75"/>
      <c r="M19" s="185"/>
    </row>
    <row r="20" spans="1:13" ht="17.399999999999999" x14ac:dyDescent="0.3">
      <c r="A20" s="75"/>
      <c r="B20" s="161">
        <v>3</v>
      </c>
      <c r="C20" s="170" t="s">
        <v>16</v>
      </c>
      <c r="D20" s="50">
        <v>6.22</v>
      </c>
      <c r="E20" s="44">
        <f t="shared" si="2"/>
        <v>1.7092288962322322</v>
      </c>
      <c r="F20" s="7">
        <f t="shared" si="3"/>
        <v>341845.77924644644</v>
      </c>
      <c r="G20" s="8">
        <v>0.99</v>
      </c>
      <c r="H20" s="23">
        <f t="shared" si="4"/>
        <v>338427.32145398197</v>
      </c>
      <c r="I20" s="10">
        <f t="shared" si="5"/>
        <v>8057.793367951952</v>
      </c>
      <c r="J20" s="9">
        <f>I20/$I$25</f>
        <v>0.67788657347482428</v>
      </c>
      <c r="K20" s="56">
        <f t="shared" si="6"/>
        <v>155.32617594510413</v>
      </c>
      <c r="L20" s="75"/>
      <c r="M20" s="185"/>
    </row>
    <row r="21" spans="1:13" ht="17.399999999999999" x14ac:dyDescent="0.3">
      <c r="A21" s="75"/>
      <c r="B21" s="161">
        <v>4</v>
      </c>
      <c r="C21" s="170" t="s">
        <v>18</v>
      </c>
      <c r="D21" s="50">
        <v>1.25</v>
      </c>
      <c r="E21" s="44">
        <f t="shared" si="2"/>
        <v>0.39306870945130462</v>
      </c>
      <c r="F21" s="7">
        <f t="shared" si="3"/>
        <v>78613.741890260921</v>
      </c>
      <c r="G21" s="8">
        <v>0.99</v>
      </c>
      <c r="H21" s="23">
        <f t="shared" si="4"/>
        <v>77827.604471358311</v>
      </c>
      <c r="I21" s="10">
        <f>H21/42</f>
        <v>1853.0382016990075</v>
      </c>
      <c r="J21" s="9">
        <f>I21/$I$25</f>
        <v>0.15589252040933954</v>
      </c>
      <c r="K21" s="56">
        <f t="shared" si="6"/>
        <v>40.466423638011811</v>
      </c>
      <c r="L21" s="75"/>
      <c r="M21" s="185"/>
    </row>
    <row r="22" spans="1:13" ht="17.399999999999999" x14ac:dyDescent="0.3">
      <c r="A22" s="75"/>
      <c r="B22" s="161">
        <v>5</v>
      </c>
      <c r="C22" s="170" t="s">
        <v>17</v>
      </c>
      <c r="D22" s="50">
        <v>0.42</v>
      </c>
      <c r="E22" s="44">
        <f t="shared" si="2"/>
        <v>0.13708476291365596</v>
      </c>
      <c r="F22" s="7">
        <f t="shared" si="3"/>
        <v>27416.952582731192</v>
      </c>
      <c r="G22" s="8">
        <v>0.99</v>
      </c>
      <c r="H22" s="23">
        <f t="shared" si="4"/>
        <v>27142.783056903878</v>
      </c>
      <c r="I22" s="10">
        <f>H22/42</f>
        <v>646.25673945009237</v>
      </c>
      <c r="J22" s="9">
        <f>I22/$I$25</f>
        <v>5.4368329725757704E-2</v>
      </c>
      <c r="K22" s="56">
        <f t="shared" si="6"/>
        <v>13.560973086470504</v>
      </c>
      <c r="L22" s="75"/>
      <c r="M22" s="185"/>
    </row>
    <row r="23" spans="1:13" ht="17.399999999999999" x14ac:dyDescent="0.3">
      <c r="A23" s="75"/>
      <c r="B23" s="162">
        <v>6</v>
      </c>
      <c r="C23" s="170" t="s">
        <v>35</v>
      </c>
      <c r="D23" s="50">
        <v>0.78</v>
      </c>
      <c r="E23" s="44">
        <f t="shared" si="2"/>
        <v>0.2820260249498</v>
      </c>
      <c r="F23" s="11">
        <f t="shared" si="3"/>
        <v>56405.204989959995</v>
      </c>
      <c r="G23" s="12">
        <v>0.99</v>
      </c>
      <c r="H23" s="22">
        <f t="shared" si="4"/>
        <v>55841.152940060398</v>
      </c>
      <c r="I23" s="13">
        <f t="shared" si="5"/>
        <v>1329.5512604776286</v>
      </c>
      <c r="J23" s="14">
        <f>I23/$I$25</f>
        <v>0.11185257639007844</v>
      </c>
      <c r="K23" s="57">
        <f t="shared" si="6"/>
        <v>31.028503264976994</v>
      </c>
      <c r="L23" s="75"/>
      <c r="M23" s="185"/>
    </row>
    <row r="24" spans="1:13" ht="18" thickBot="1" x14ac:dyDescent="0.35">
      <c r="A24" s="75"/>
      <c r="B24" s="162">
        <v>7</v>
      </c>
      <c r="C24" s="161" t="s">
        <v>26</v>
      </c>
      <c r="D24" s="53">
        <v>2</v>
      </c>
      <c r="E24" s="151"/>
      <c r="F24" s="152"/>
      <c r="G24" s="153"/>
      <c r="H24" s="154"/>
      <c r="I24" s="200"/>
      <c r="J24" s="155"/>
      <c r="K24" s="156"/>
      <c r="L24" s="75"/>
      <c r="M24" s="185"/>
    </row>
    <row r="25" spans="1:13" ht="18" thickBot="1" x14ac:dyDescent="0.35">
      <c r="A25" s="75"/>
      <c r="B25" s="163">
        <v>8</v>
      </c>
      <c r="C25" s="237" t="s">
        <v>86</v>
      </c>
      <c r="D25" s="51">
        <f>SUM(D18:D24)</f>
        <v>100</v>
      </c>
      <c r="E25" s="74">
        <f>SUM(E18:E23)</f>
        <v>19.176871103240732</v>
      </c>
      <c r="F25" s="61">
        <f>SUM(F18:F23)</f>
        <v>3835374.2206481462</v>
      </c>
      <c r="G25" s="52"/>
      <c r="H25" s="198">
        <f>SUM(H19:H23)</f>
        <v>499238.86192230455</v>
      </c>
      <c r="I25" s="83">
        <f>SUM(I19:I23)</f>
        <v>11886.639569578681</v>
      </c>
      <c r="J25" s="199">
        <f>I25/$I$25</f>
        <v>1</v>
      </c>
      <c r="K25" s="83">
        <f>SUM(K18:K23)</f>
        <v>1261.300082590215</v>
      </c>
      <c r="L25" s="75"/>
      <c r="M25" s="204"/>
    </row>
    <row r="26" spans="1:13" ht="18" thickBot="1" x14ac:dyDescent="0.35">
      <c r="A26" s="75"/>
      <c r="B26" s="164">
        <v>9</v>
      </c>
      <c r="C26" s="171"/>
      <c r="D26" s="159"/>
      <c r="E26" s="58" t="s">
        <v>12</v>
      </c>
      <c r="F26" s="59"/>
      <c r="G26" s="82">
        <v>200</v>
      </c>
      <c r="H26" s="197">
        <f>SUM(F19:F23)/(G26*1000)</f>
        <v>6.7548637353023313</v>
      </c>
      <c r="I26" s="197">
        <f>H25/($G$26*1000)</f>
        <v>2.4961943096115227</v>
      </c>
      <c r="J26" s="157"/>
      <c r="K26" s="158"/>
      <c r="L26" s="75"/>
      <c r="M26" s="205"/>
    </row>
    <row r="27" spans="1:13" x14ac:dyDescent="0.25">
      <c r="A27" s="75"/>
      <c r="B27" s="75"/>
      <c r="C27" s="75"/>
      <c r="D27" s="75"/>
      <c r="E27" s="75"/>
      <c r="F27" s="75"/>
      <c r="G27" s="75"/>
      <c r="H27" s="47"/>
      <c r="I27" s="47"/>
      <c r="J27" s="47"/>
      <c r="K27" s="75"/>
      <c r="L27" s="75"/>
      <c r="M27" s="75"/>
    </row>
    <row r="28" spans="1:13" ht="13.8" thickBot="1" x14ac:dyDescent="0.3">
      <c r="A28" s="75"/>
      <c r="B28" s="75"/>
      <c r="C28" s="75"/>
      <c r="D28" s="75"/>
      <c r="E28" s="75"/>
      <c r="F28" s="75"/>
      <c r="G28" s="75"/>
      <c r="H28" s="47"/>
      <c r="I28" s="47"/>
      <c r="J28" s="47"/>
      <c r="K28" s="75"/>
      <c r="L28" s="75"/>
      <c r="M28" s="75"/>
    </row>
    <row r="29" spans="1:13" ht="17.399999999999999" x14ac:dyDescent="0.3">
      <c r="A29" s="75"/>
      <c r="B29" s="243"/>
      <c r="C29" s="121" t="s">
        <v>61</v>
      </c>
      <c r="D29" s="293" t="s">
        <v>56</v>
      </c>
      <c r="E29" s="293"/>
      <c r="F29" s="293"/>
      <c r="G29" s="293"/>
      <c r="H29" s="293"/>
      <c r="I29" s="293"/>
      <c r="J29" s="293"/>
      <c r="K29" s="293"/>
      <c r="L29" s="294"/>
      <c r="M29" s="75"/>
    </row>
    <row r="30" spans="1:13" ht="18" thickBot="1" x14ac:dyDescent="0.35">
      <c r="A30" s="75"/>
      <c r="B30" s="244"/>
      <c r="C30" s="239"/>
      <c r="D30" s="126" t="s">
        <v>59</v>
      </c>
      <c r="E30" s="126" t="s">
        <v>70</v>
      </c>
      <c r="F30" s="126" t="s">
        <v>71</v>
      </c>
      <c r="G30" s="126" t="s">
        <v>72</v>
      </c>
      <c r="H30" s="126" t="s">
        <v>73</v>
      </c>
      <c r="I30" s="127" t="s">
        <v>74</v>
      </c>
      <c r="J30" s="150" t="s">
        <v>75</v>
      </c>
      <c r="K30" s="166" t="s">
        <v>76</v>
      </c>
      <c r="L30" s="167" t="s">
        <v>77</v>
      </c>
      <c r="M30" s="75"/>
    </row>
    <row r="31" spans="1:13" ht="17.399999999999999" x14ac:dyDescent="0.3">
      <c r="A31" s="75"/>
      <c r="B31" s="244"/>
      <c r="C31" s="240"/>
      <c r="D31" s="130" t="s">
        <v>36</v>
      </c>
      <c r="E31" s="128" t="s">
        <v>37</v>
      </c>
      <c r="F31" s="128" t="s">
        <v>63</v>
      </c>
      <c r="G31" s="134" t="s">
        <v>36</v>
      </c>
      <c r="H31" s="134" t="s">
        <v>37</v>
      </c>
      <c r="I31" s="176" t="s">
        <v>67</v>
      </c>
      <c r="J31" s="80"/>
      <c r="K31" s="295" t="s">
        <v>47</v>
      </c>
      <c r="L31" s="306"/>
      <c r="M31" s="75"/>
    </row>
    <row r="32" spans="1:13" ht="18" thickBot="1" x14ac:dyDescent="0.35">
      <c r="A32" s="75"/>
      <c r="B32" s="244"/>
      <c r="C32" s="241" t="s">
        <v>25</v>
      </c>
      <c r="D32" s="144" t="s">
        <v>7</v>
      </c>
      <c r="E32" s="145" t="s">
        <v>38</v>
      </c>
      <c r="F32" s="145" t="s">
        <v>64</v>
      </c>
      <c r="G32" s="146" t="s">
        <v>1</v>
      </c>
      <c r="H32" s="146" t="s">
        <v>66</v>
      </c>
      <c r="I32" s="177" t="s">
        <v>68</v>
      </c>
      <c r="J32" s="73"/>
      <c r="K32" s="97" t="s">
        <v>45</v>
      </c>
      <c r="L32" s="138" t="s">
        <v>46</v>
      </c>
      <c r="M32" s="75"/>
    </row>
    <row r="33" spans="1:16" ht="17.399999999999999" x14ac:dyDescent="0.3">
      <c r="A33" s="75"/>
      <c r="B33" s="161">
        <v>1</v>
      </c>
      <c r="C33" s="242" t="s">
        <v>20</v>
      </c>
      <c r="D33" s="142">
        <f t="shared" ref="D33:D38" si="7">F18-H18</f>
        <v>2484401.4735876797</v>
      </c>
      <c r="E33" s="136">
        <f t="shared" ref="E33:E38" si="8">(F6*D33)/1000000</f>
        <v>146.91999999999999</v>
      </c>
      <c r="F33" s="210">
        <f t="shared" ref="F33:F38" si="9">(E33/$E$39)*100</f>
        <v>82.154675804407887</v>
      </c>
      <c r="G33" s="143"/>
      <c r="H33" s="182">
        <f t="shared" ref="H33:H38" si="10">(H6*F33)/100</f>
        <v>829.7622256245196</v>
      </c>
      <c r="I33" s="178"/>
      <c r="J33" s="109" t="s">
        <v>79</v>
      </c>
      <c r="K33" s="91">
        <f>G26*1000</f>
        <v>200000</v>
      </c>
      <c r="L33" s="139">
        <f>E39*1000</f>
        <v>178833.40000000002</v>
      </c>
      <c r="M33" s="75"/>
    </row>
    <row r="34" spans="1:16" ht="17.399999999999999" x14ac:dyDescent="0.3">
      <c r="A34" s="75"/>
      <c r="B34" s="161">
        <v>2</v>
      </c>
      <c r="C34" s="242" t="s">
        <v>15</v>
      </c>
      <c r="D34" s="131">
        <f t="shared" si="7"/>
        <v>846691.06835106795</v>
      </c>
      <c r="E34" s="76">
        <f t="shared" si="8"/>
        <v>31.740000000000002</v>
      </c>
      <c r="F34" s="211">
        <f t="shared" si="9"/>
        <v>17.748362442362556</v>
      </c>
      <c r="G34" s="213">
        <f>(G7/100)*F34</f>
        <v>4.7345242463156652</v>
      </c>
      <c r="H34" s="183">
        <f t="shared" si="10"/>
        <v>311.99094425946339</v>
      </c>
      <c r="I34" s="179">
        <f>(D7*H19)/1000000</f>
        <v>0</v>
      </c>
      <c r="J34" s="109" t="s">
        <v>107</v>
      </c>
      <c r="K34" s="137">
        <f>K25/1000</f>
        <v>1.261300082590215</v>
      </c>
      <c r="L34" s="140">
        <f>H39/1000</f>
        <v>1.1444415052389512</v>
      </c>
      <c r="M34" s="75"/>
    </row>
    <row r="35" spans="1:16" ht="17.399999999999999" x14ac:dyDescent="0.3">
      <c r="A35" s="75"/>
      <c r="B35" s="161">
        <v>3</v>
      </c>
      <c r="C35" s="242" t="s">
        <v>16</v>
      </c>
      <c r="D35" s="131">
        <f t="shared" si="7"/>
        <v>3418.4577924644691</v>
      </c>
      <c r="E35" s="76">
        <f t="shared" si="8"/>
        <v>0.12440000000000016</v>
      </c>
      <c r="F35" s="211">
        <f t="shared" si="9"/>
        <v>6.9561949837111045E-2</v>
      </c>
      <c r="G35" s="213">
        <f>(G8/100)*F35</f>
        <v>1.9115320697724637E-2</v>
      </c>
      <c r="H35" s="183">
        <f t="shared" si="10"/>
        <v>1.7371047684057261</v>
      </c>
      <c r="I35" s="179">
        <f>(D8*H20)/1000000</f>
        <v>30754.582837130612</v>
      </c>
      <c r="J35" s="109" t="s">
        <v>98</v>
      </c>
      <c r="K35" s="91">
        <f>K33*K34</f>
        <v>252260.016518043</v>
      </c>
      <c r="L35" s="139">
        <f>L33*L34</f>
        <v>204664.36548299948</v>
      </c>
      <c r="M35" s="75"/>
    </row>
    <row r="36" spans="1:16" ht="17.399999999999999" x14ac:dyDescent="0.3">
      <c r="A36" s="75"/>
      <c r="B36" s="161">
        <v>4</v>
      </c>
      <c r="C36" s="242" t="s">
        <v>18</v>
      </c>
      <c r="D36" s="131">
        <f t="shared" si="7"/>
        <v>786.13741890261008</v>
      </c>
      <c r="E36" s="76">
        <f t="shared" si="8"/>
        <v>2.5000000000000026E-2</v>
      </c>
      <c r="F36" s="211">
        <f t="shared" si="9"/>
        <v>1.397949152675061E-2</v>
      </c>
      <c r="G36" s="213">
        <f>(G9/100)*F36</f>
        <v>4.395920554564248E-3</v>
      </c>
      <c r="H36" s="183">
        <f t="shared" si="10"/>
        <v>0.45256002109238935</v>
      </c>
      <c r="I36" s="179">
        <f>(D9*H21)/1000000</f>
        <v>8012.3518803263378</v>
      </c>
      <c r="J36" s="109"/>
      <c r="K36" s="92"/>
      <c r="L36" s="141"/>
      <c r="M36" s="75"/>
    </row>
    <row r="37" spans="1:16" ht="17.399999999999999" x14ac:dyDescent="0.3">
      <c r="A37" s="75"/>
      <c r="B37" s="161">
        <v>5</v>
      </c>
      <c r="C37" s="242" t="s">
        <v>17</v>
      </c>
      <c r="D37" s="131">
        <f t="shared" si="7"/>
        <v>274.16952582731392</v>
      </c>
      <c r="E37" s="76">
        <f t="shared" si="8"/>
        <v>8.4000000000000602E-3</v>
      </c>
      <c r="F37" s="211">
        <f t="shared" si="9"/>
        <v>4.6971091529882337E-3</v>
      </c>
      <c r="G37" s="213">
        <f>(G10/100)*F37</f>
        <v>1.5331002252784653E-3</v>
      </c>
      <c r="H37" s="183">
        <f t="shared" si="10"/>
        <v>0.15166040668544689</v>
      </c>
      <c r="I37" s="179">
        <f>(D10*H22)/1000000</f>
        <v>2685.0726711211591</v>
      </c>
      <c r="J37" s="109" t="s">
        <v>80</v>
      </c>
      <c r="K37" s="287">
        <f>K35</f>
        <v>252260.016518043</v>
      </c>
      <c r="L37" s="288"/>
      <c r="M37" s="75"/>
    </row>
    <row r="38" spans="1:16" ht="17.399999999999999" x14ac:dyDescent="0.3">
      <c r="A38" s="75"/>
      <c r="B38" s="162">
        <v>6</v>
      </c>
      <c r="C38" s="242" t="s">
        <v>35</v>
      </c>
      <c r="D38" s="132">
        <f t="shared" si="7"/>
        <v>564.05204989959748</v>
      </c>
      <c r="E38" s="125">
        <f t="shared" si="8"/>
        <v>1.5599999999999933E-2</v>
      </c>
      <c r="F38" s="212">
        <f t="shared" si="9"/>
        <v>8.723202712692335E-3</v>
      </c>
      <c r="G38" s="214">
        <f>(G11/100)*F38</f>
        <v>3.1540643408870918E-3</v>
      </c>
      <c r="H38" s="184">
        <f t="shared" si="10"/>
        <v>0.34701015878439784</v>
      </c>
      <c r="I38" s="179">
        <f>(D11*H23)/1000000</f>
        <v>6143.6436464654444</v>
      </c>
      <c r="J38" s="109" t="s">
        <v>81</v>
      </c>
      <c r="K38" s="289">
        <f>-I39</f>
        <v>-47595.651035043556</v>
      </c>
      <c r="L38" s="290"/>
      <c r="M38" s="75"/>
    </row>
    <row r="39" spans="1:16" ht="17.399999999999999" x14ac:dyDescent="0.3">
      <c r="A39" s="75"/>
      <c r="B39" s="161">
        <v>7</v>
      </c>
      <c r="C39" s="219" t="s">
        <v>86</v>
      </c>
      <c r="D39" s="131">
        <f>SUM(D33:D38)</f>
        <v>3336135.3587258416</v>
      </c>
      <c r="E39" s="76">
        <f>SUM(E33:E38)</f>
        <v>178.83340000000001</v>
      </c>
      <c r="F39" s="76">
        <f>SUM(F33:F38)</f>
        <v>99.999999999999986</v>
      </c>
      <c r="G39" s="135">
        <f>SUM(G34:G38)</f>
        <v>4.7627226521341184</v>
      </c>
      <c r="H39" s="183">
        <f>SUM(H33:H38)</f>
        <v>1144.4415052389511</v>
      </c>
      <c r="I39" s="180">
        <f>SUM(I34:I38)</f>
        <v>47595.651035043556</v>
      </c>
      <c r="J39" s="109" t="s">
        <v>82</v>
      </c>
      <c r="K39" s="289">
        <f>-L35</f>
        <v>-204664.36548299948</v>
      </c>
      <c r="L39" s="290"/>
      <c r="M39" s="206"/>
    </row>
    <row r="40" spans="1:16" ht="18" thickBot="1" x14ac:dyDescent="0.35">
      <c r="A40" s="75"/>
      <c r="B40" s="164">
        <v>8</v>
      </c>
      <c r="C40" s="60"/>
      <c r="D40" s="133" t="s">
        <v>65</v>
      </c>
      <c r="E40" s="129"/>
      <c r="F40" s="87">
        <f>G26-E39</f>
        <v>21.166599999999988</v>
      </c>
      <c r="G40" s="129"/>
      <c r="H40" s="175"/>
      <c r="I40" s="181"/>
      <c r="J40" s="149" t="s">
        <v>69</v>
      </c>
      <c r="K40" s="147">
        <f>K37+K38+K39</f>
        <v>0</v>
      </c>
      <c r="L40" s="148"/>
      <c r="M40" s="207"/>
    </row>
    <row r="41" spans="1:16" ht="17.399999999999999" x14ac:dyDescent="0.3">
      <c r="A41" s="75"/>
      <c r="B41" s="205"/>
      <c r="C41" s="205"/>
      <c r="D41" s="205"/>
      <c r="E41" s="215"/>
      <c r="F41" s="215"/>
      <c r="G41" s="215"/>
      <c r="H41" s="215"/>
      <c r="I41" s="216"/>
      <c r="J41" s="217"/>
      <c r="K41" s="218"/>
      <c r="L41" s="218"/>
      <c r="M41" s="207"/>
      <c r="N41" s="75"/>
    </row>
    <row r="42" spans="1:16" ht="13.8" thickBot="1" x14ac:dyDescent="0.3">
      <c r="A42" s="75"/>
      <c r="B42" s="75"/>
      <c r="C42" s="75"/>
      <c r="D42" s="75"/>
      <c r="E42" s="75"/>
      <c r="F42" s="75"/>
      <c r="G42" s="75"/>
      <c r="H42" s="47"/>
      <c r="I42" s="47"/>
      <c r="J42" s="47"/>
      <c r="K42" s="75"/>
      <c r="L42" s="75"/>
      <c r="M42" s="75"/>
      <c r="N42" s="75"/>
    </row>
    <row r="43" spans="1:16" ht="18" thickBot="1" x14ac:dyDescent="0.35">
      <c r="A43" s="75"/>
      <c r="B43" s="117"/>
      <c r="C43" s="121" t="s">
        <v>62</v>
      </c>
      <c r="D43" s="119"/>
      <c r="E43" s="119"/>
      <c r="F43" s="118" t="s">
        <v>100</v>
      </c>
      <c r="G43" s="119"/>
      <c r="H43" s="119"/>
      <c r="I43" s="119"/>
      <c r="J43" s="119"/>
      <c r="K43" s="119"/>
      <c r="L43" s="120"/>
      <c r="M43" s="208"/>
    </row>
    <row r="44" spans="1:16" ht="18" thickBot="1" x14ac:dyDescent="0.35">
      <c r="A44" s="75"/>
      <c r="B44" s="112"/>
      <c r="C44" s="116"/>
      <c r="D44" s="84" t="s">
        <v>50</v>
      </c>
      <c r="E44" s="85" t="s">
        <v>51</v>
      </c>
      <c r="F44" s="85" t="s">
        <v>52</v>
      </c>
      <c r="G44" s="85" t="s">
        <v>53</v>
      </c>
      <c r="H44" s="85" t="s">
        <v>54</v>
      </c>
      <c r="I44" s="85" t="s">
        <v>55</v>
      </c>
      <c r="J44" s="111" t="s">
        <v>57</v>
      </c>
      <c r="K44" s="111" t="s">
        <v>58</v>
      </c>
      <c r="L44" s="86" t="s">
        <v>59</v>
      </c>
      <c r="M44" s="75"/>
    </row>
    <row r="45" spans="1:16" ht="17.399999999999999" x14ac:dyDescent="0.3">
      <c r="A45" s="75"/>
      <c r="B45" s="112"/>
      <c r="C45" s="168"/>
      <c r="D45" s="297" t="s">
        <v>44</v>
      </c>
      <c r="E45" s="298"/>
      <c r="F45" s="298"/>
      <c r="G45" s="299"/>
      <c r="H45" s="105" t="s">
        <v>42</v>
      </c>
      <c r="I45" s="80"/>
      <c r="J45" s="295" t="s">
        <v>47</v>
      </c>
      <c r="K45" s="296"/>
      <c r="L45" s="96" t="s">
        <v>97</v>
      </c>
      <c r="M45" s="75"/>
    </row>
    <row r="46" spans="1:16" ht="21" thickBot="1" x14ac:dyDescent="0.4">
      <c r="A46" s="75"/>
      <c r="B46" s="112"/>
      <c r="C46" s="169" t="s">
        <v>25</v>
      </c>
      <c r="D46" s="172" t="s">
        <v>41</v>
      </c>
      <c r="E46" s="100" t="s">
        <v>39</v>
      </c>
      <c r="F46" s="101" t="s">
        <v>49</v>
      </c>
      <c r="G46" s="100" t="s">
        <v>40</v>
      </c>
      <c r="H46" s="106" t="s">
        <v>43</v>
      </c>
      <c r="I46" s="73"/>
      <c r="J46" s="97" t="s">
        <v>45</v>
      </c>
      <c r="K46" s="98" t="s">
        <v>46</v>
      </c>
      <c r="L46" s="99" t="s">
        <v>48</v>
      </c>
      <c r="M46" s="209"/>
      <c r="P46" s="255"/>
    </row>
    <row r="47" spans="1:16" ht="17.399999999999999" x14ac:dyDescent="0.3">
      <c r="A47" s="75"/>
      <c r="B47" s="113">
        <v>1</v>
      </c>
      <c r="C47" s="170" t="s">
        <v>20</v>
      </c>
      <c r="D47" s="253">
        <v>3.5659999999999998</v>
      </c>
      <c r="E47" s="261"/>
      <c r="F47" s="250">
        <v>10</v>
      </c>
      <c r="G47" s="95"/>
      <c r="H47" s="107"/>
      <c r="I47" s="109" t="s">
        <v>79</v>
      </c>
      <c r="J47" s="91">
        <f>G26*1000</f>
        <v>200000</v>
      </c>
      <c r="K47" s="78">
        <f>E39*1000</f>
        <v>178833.40000000002</v>
      </c>
      <c r="L47" s="103"/>
      <c r="M47" s="209"/>
    </row>
    <row r="48" spans="1:16" ht="20.399999999999999" x14ac:dyDescent="0.35">
      <c r="A48" s="75"/>
      <c r="B48" s="113">
        <v>2</v>
      </c>
      <c r="C48" s="170" t="s">
        <v>15</v>
      </c>
      <c r="D48" s="173">
        <f>(E48/D7)*10000</f>
        <v>3.7653459186305902</v>
      </c>
      <c r="E48" s="251">
        <v>24.8125</v>
      </c>
      <c r="F48" s="102">
        <f>E48-$F$47</f>
        <v>14.8125</v>
      </c>
      <c r="G48" s="88">
        <f>F48/100</f>
        <v>0.14812500000000001</v>
      </c>
      <c r="H48" s="108">
        <f>H19*G48</f>
        <v>0</v>
      </c>
      <c r="I48" s="109" t="s">
        <v>107</v>
      </c>
      <c r="J48" s="114">
        <f>K25/1000</f>
        <v>1.261300082590215</v>
      </c>
      <c r="K48" s="115">
        <f>H39/1000</f>
        <v>1.1444415052389512</v>
      </c>
      <c r="L48" s="104"/>
      <c r="M48" s="209"/>
      <c r="P48" s="255"/>
    </row>
    <row r="49" spans="1:17" ht="17.399999999999999" x14ac:dyDescent="0.3">
      <c r="A49" s="75"/>
      <c r="B49" s="113">
        <v>3</v>
      </c>
      <c r="C49" s="170" t="s">
        <v>16</v>
      </c>
      <c r="D49" s="173">
        <f>(E49/D8)*10000</f>
        <v>9.0508940852819819</v>
      </c>
      <c r="E49" s="252">
        <v>82.25</v>
      </c>
      <c r="F49" s="102">
        <f>E49-$F$47</f>
        <v>72.25</v>
      </c>
      <c r="G49" s="88">
        <f>F49/100</f>
        <v>0.72250000000000003</v>
      </c>
      <c r="H49" s="108">
        <f>H20*G49</f>
        <v>244513.73975050199</v>
      </c>
      <c r="I49" s="109" t="s">
        <v>98</v>
      </c>
      <c r="J49" s="91">
        <f>J47*J48</f>
        <v>252260.016518043</v>
      </c>
      <c r="K49" s="78">
        <f>K47*K48</f>
        <v>204664.36548299948</v>
      </c>
      <c r="L49" s="104"/>
      <c r="M49" s="209"/>
      <c r="P49" s="254"/>
    </row>
    <row r="50" spans="1:17" ht="17.399999999999999" x14ac:dyDescent="0.3">
      <c r="A50" s="75"/>
      <c r="B50" s="113">
        <v>4</v>
      </c>
      <c r="C50" s="170" t="s">
        <v>18</v>
      </c>
      <c r="D50" s="173">
        <f>(E50/D9)*10000</f>
        <v>15.905779504613889</v>
      </c>
      <c r="E50" s="252">
        <v>163.75</v>
      </c>
      <c r="F50" s="102">
        <f>E50-$F$47</f>
        <v>153.75</v>
      </c>
      <c r="G50" s="88">
        <f>F50/100</f>
        <v>1.5375000000000001</v>
      </c>
      <c r="H50" s="108">
        <f>H21*G50</f>
        <v>119659.9418747134</v>
      </c>
      <c r="I50" s="109" t="s">
        <v>99</v>
      </c>
      <c r="J50" s="92">
        <f>D47</f>
        <v>3.5659999999999998</v>
      </c>
      <c r="K50" s="90">
        <f>J50</f>
        <v>3.5659999999999998</v>
      </c>
      <c r="L50" s="104"/>
      <c r="M50" s="209"/>
    </row>
    <row r="51" spans="1:17" ht="17.399999999999999" x14ac:dyDescent="0.3">
      <c r="A51" s="75"/>
      <c r="B51" s="113">
        <v>5</v>
      </c>
      <c r="C51" s="170" t="s">
        <v>17</v>
      </c>
      <c r="D51" s="173">
        <f>(E51/D10)*10000</f>
        <v>17.873569608992764</v>
      </c>
      <c r="E51" s="252">
        <v>176.8125</v>
      </c>
      <c r="F51" s="102">
        <f>E51-$F$47</f>
        <v>166.8125</v>
      </c>
      <c r="G51" s="88">
        <f>F51/100</f>
        <v>1.6681250000000001</v>
      </c>
      <c r="H51" s="108">
        <f>H22*G51</f>
        <v>45277.554986797782</v>
      </c>
      <c r="I51" s="110" t="s">
        <v>83</v>
      </c>
      <c r="J51" s="93">
        <f>J49*J50</f>
        <v>899559.21890334133</v>
      </c>
      <c r="K51" s="89">
        <f>K49*K50</f>
        <v>729833.12731237605</v>
      </c>
      <c r="L51" s="104"/>
      <c r="M51" s="209"/>
      <c r="O51"/>
      <c r="P51"/>
      <c r="Q51"/>
    </row>
    <row r="52" spans="1:17" ht="18" thickBot="1" x14ac:dyDescent="0.35">
      <c r="A52" s="75"/>
      <c r="B52" s="274">
        <v>6</v>
      </c>
      <c r="C52" s="170" t="s">
        <v>35</v>
      </c>
      <c r="D52" s="173">
        <f>(E52/D11)*10000</f>
        <v>19.496455189965459</v>
      </c>
      <c r="E52" s="252">
        <v>214.5</v>
      </c>
      <c r="F52" s="102">
        <f>E52-$F$47</f>
        <v>204.5</v>
      </c>
      <c r="G52" s="88">
        <f>F52/100</f>
        <v>2.0449999999999999</v>
      </c>
      <c r="H52" s="108">
        <f>H23*G52</f>
        <v>114195.15776242351</v>
      </c>
      <c r="I52" s="109"/>
      <c r="J52" s="94"/>
      <c r="K52" s="79"/>
      <c r="L52" s="104"/>
      <c r="M52" s="209"/>
      <c r="O52"/>
      <c r="P52"/>
      <c r="Q52"/>
    </row>
    <row r="53" spans="1:17" ht="18" thickBot="1" x14ac:dyDescent="0.35">
      <c r="A53" s="75"/>
      <c r="B53" s="275">
        <v>7</v>
      </c>
      <c r="C53" s="276" t="s">
        <v>86</v>
      </c>
      <c r="D53" s="266"/>
      <c r="E53" s="278"/>
      <c r="F53" s="266"/>
      <c r="G53" s="266"/>
      <c r="H53" s="267">
        <f>SUM(H48:H52)</f>
        <v>523646.3943744367</v>
      </c>
      <c r="I53" s="268"/>
      <c r="J53" s="269">
        <f>-J51</f>
        <v>-899559.21890334133</v>
      </c>
      <c r="K53" s="270">
        <f>K51</f>
        <v>729833.12731237605</v>
      </c>
      <c r="L53" s="124">
        <f>H53+J53+K53</f>
        <v>353920.30278347142</v>
      </c>
      <c r="M53" s="75"/>
      <c r="O53"/>
      <c r="P53"/>
      <c r="Q53"/>
    </row>
    <row r="54" spans="1:17" ht="18" customHeight="1" thickBot="1" x14ac:dyDescent="0.35">
      <c r="A54" s="75"/>
      <c r="B54" s="263">
        <v>8</v>
      </c>
      <c r="C54" s="291" t="s">
        <v>108</v>
      </c>
      <c r="D54" s="292"/>
      <c r="E54" s="262">
        <f>(E48-F47)/D7 * 10000</f>
        <v>2.2478261529356423</v>
      </c>
      <c r="F54" s="281"/>
      <c r="G54" s="266"/>
      <c r="H54" s="279"/>
      <c r="I54" s="279"/>
      <c r="J54" s="279"/>
      <c r="K54" s="266"/>
      <c r="L54" s="280"/>
      <c r="M54" s="75"/>
      <c r="O54"/>
      <c r="P54"/>
      <c r="Q54"/>
    </row>
    <row r="55" spans="1:17" x14ac:dyDescent="0.25">
      <c r="A55" s="75"/>
      <c r="B55" s="75"/>
      <c r="C55" s="75"/>
      <c r="D55" s="75"/>
      <c r="E55" s="75"/>
      <c r="F55" s="75"/>
      <c r="G55" s="75"/>
      <c r="H55" s="47"/>
      <c r="I55" s="47"/>
      <c r="J55" s="47"/>
      <c r="K55" s="75"/>
      <c r="L55" s="75"/>
      <c r="M55" s="75"/>
    </row>
    <row r="56" spans="1:17" x14ac:dyDescent="0.25">
      <c r="A56" s="75"/>
      <c r="B56" s="75"/>
      <c r="C56" s="75"/>
      <c r="D56" s="75"/>
      <c r="E56" s="75"/>
      <c r="F56" s="75"/>
      <c r="G56" s="75"/>
      <c r="H56" s="47"/>
      <c r="I56" s="47"/>
      <c r="J56" s="47"/>
      <c r="K56" s="75"/>
      <c r="L56" s="75"/>
      <c r="M56" s="75"/>
    </row>
    <row r="997" spans="8:52" x14ac:dyDescent="0.25">
      <c r="H997"/>
      <c r="I997"/>
      <c r="J997"/>
      <c r="O997"/>
      <c r="P997"/>
      <c r="Q997"/>
      <c r="AZ997" t="s">
        <v>87</v>
      </c>
    </row>
    <row r="998" spans="8:52" x14ac:dyDescent="0.25">
      <c r="H998"/>
      <c r="I998"/>
      <c r="J998"/>
      <c r="O998"/>
      <c r="P998"/>
      <c r="Q998"/>
      <c r="AZ998" s="245">
        <v>41288</v>
      </c>
    </row>
    <row r="999" spans="8:52" x14ac:dyDescent="0.25">
      <c r="H999"/>
      <c r="I999"/>
      <c r="J999"/>
      <c r="O999"/>
      <c r="P999"/>
      <c r="Q999"/>
      <c r="AZ999" t="s">
        <v>88</v>
      </c>
    </row>
    <row r="1000" spans="8:52" x14ac:dyDescent="0.25">
      <c r="H1000"/>
      <c r="I1000"/>
      <c r="J1000"/>
      <c r="O1000"/>
      <c r="P1000"/>
      <c r="Q1000"/>
      <c r="AZ1000" t="s">
        <v>89</v>
      </c>
    </row>
    <row r="1001" spans="8:52" x14ac:dyDescent="0.25">
      <c r="H1001"/>
      <c r="I1001"/>
      <c r="J1001"/>
      <c r="O1001"/>
      <c r="P1001"/>
      <c r="Q1001"/>
      <c r="AZ1001" t="s">
        <v>90</v>
      </c>
    </row>
    <row r="1002" spans="8:52" x14ac:dyDescent="0.25">
      <c r="H1002"/>
      <c r="I1002"/>
      <c r="J1002"/>
      <c r="O1002"/>
      <c r="P1002"/>
      <c r="Q1002"/>
      <c r="AZ1002" t="s">
        <v>91</v>
      </c>
    </row>
    <row r="1003" spans="8:52" x14ac:dyDescent="0.25">
      <c r="H1003"/>
      <c r="I1003"/>
      <c r="J1003"/>
      <c r="O1003"/>
      <c r="P1003"/>
      <c r="Q1003"/>
      <c r="AZ1003" t="s">
        <v>92</v>
      </c>
    </row>
    <row r="1004" spans="8:52" x14ac:dyDescent="0.25">
      <c r="H1004"/>
      <c r="I1004"/>
      <c r="J1004"/>
      <c r="O1004"/>
      <c r="P1004"/>
      <c r="Q1004"/>
      <c r="AZ1004" t="s">
        <v>93</v>
      </c>
    </row>
    <row r="1005" spans="8:52" x14ac:dyDescent="0.25">
      <c r="H1005"/>
      <c r="I1005"/>
      <c r="J1005"/>
      <c r="O1005"/>
      <c r="P1005"/>
      <c r="Q1005"/>
      <c r="AZ1005" t="s">
        <v>94</v>
      </c>
    </row>
  </sheetData>
  <mergeCells count="12">
    <mergeCell ref="C54:D54"/>
    <mergeCell ref="K38:L38"/>
    <mergeCell ref="K39:L39"/>
    <mergeCell ref="D45:G45"/>
    <mergeCell ref="J45:K45"/>
    <mergeCell ref="K31:L31"/>
    <mergeCell ref="D2:H2"/>
    <mergeCell ref="E4:E5"/>
    <mergeCell ref="G4:G5"/>
    <mergeCell ref="D14:K14"/>
    <mergeCell ref="D29:L29"/>
    <mergeCell ref="K37:L37"/>
  </mergeCells>
  <conditionalFormatting sqref="E54">
    <cfRule type="cellIs" dxfId="0" priority="1" stopIfTrue="1" operator="lessThan">
      <formula>$D$47</formula>
    </cfRule>
  </conditionalFormatting>
  <hyperlinks>
    <hyperlink ref="J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Process Plant Balance - Sample2</vt:lpstr>
      <vt:lpstr>Ethane Rejection - Sample 2 </vt:lpstr>
      <vt:lpstr>Sample #1</vt:lpstr>
      <vt:lpstr>Sample #3</vt:lpstr>
    </vt:vector>
  </TitlesOfParts>
  <Company>XTO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XTO</dc:creator>
  <cp:lastModifiedBy>RBN3</cp:lastModifiedBy>
  <dcterms:created xsi:type="dcterms:W3CDTF">2006-10-18T19:54:46Z</dcterms:created>
  <dcterms:modified xsi:type="dcterms:W3CDTF">2013-01-21T20:09:36Z</dcterms:modified>
</cp:coreProperties>
</file>