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\Desktop\Blogs and Drill Down Reports\Processing Economics Model Blogs November 2017\Gas Processing Part IV\"/>
    </mc:Choice>
  </mc:AlternateContent>
  <bookViews>
    <workbookView xWindow="0" yWindow="0" windowWidth="24000" windowHeight="9375" tabRatio="548"/>
  </bookViews>
  <sheets>
    <sheet name="Processing Model" sheetId="2" r:id="rId1"/>
    <sheet name="Gas Samples" sheetId="5" r:id="rId2"/>
    <sheet name="Premise and Instructions" sheetId="6" r:id="rId3"/>
  </sheets>
  <calcPr calcId="152511"/>
</workbook>
</file>

<file path=xl/calcChain.xml><?xml version="1.0" encoding="utf-8"?>
<calcChain xmlns="http://schemas.openxmlformats.org/spreadsheetml/2006/main">
  <c r="C52" i="2" l="1"/>
  <c r="B24" i="2" l="1"/>
  <c r="B23" i="2"/>
  <c r="B22" i="2"/>
  <c r="B21" i="2"/>
  <c r="B20" i="2"/>
  <c r="B19" i="2"/>
  <c r="B18" i="2"/>
  <c r="D46" i="2" l="1"/>
  <c r="E46" i="2" s="1"/>
  <c r="H45" i="2" l="1"/>
  <c r="B46" i="2"/>
  <c r="B47" i="2"/>
  <c r="D47" i="2"/>
  <c r="E47" i="2" s="1"/>
  <c r="B48" i="2"/>
  <c r="D48" i="2"/>
  <c r="E48" i="2" s="1"/>
  <c r="H48" i="2"/>
  <c r="I48" i="2" s="1"/>
  <c r="B49" i="2"/>
  <c r="D49" i="2"/>
  <c r="E49" i="2" s="1"/>
  <c r="B50" i="2"/>
  <c r="D50" i="2"/>
  <c r="E50" i="2" s="1"/>
  <c r="I32" i="2"/>
  <c r="E7" i="2"/>
  <c r="C18" i="2" s="1"/>
  <c r="D7" i="2"/>
  <c r="B25" i="2"/>
  <c r="E12" i="2"/>
  <c r="C23" i="2" s="1"/>
  <c r="D23" i="2" s="1"/>
  <c r="E11" i="2"/>
  <c r="C22" i="2" s="1"/>
  <c r="D22" i="2" s="1"/>
  <c r="E10" i="2"/>
  <c r="C21" i="2" s="1"/>
  <c r="D21" i="2" s="1"/>
  <c r="E9" i="2"/>
  <c r="C20" i="2" s="1"/>
  <c r="D20" i="2" s="1"/>
  <c r="F20" i="2" s="1"/>
  <c r="E8" i="2"/>
  <c r="C19" i="2" s="1"/>
  <c r="D12" i="2"/>
  <c r="F12" i="2" s="1"/>
  <c r="I23" i="2" s="1"/>
  <c r="D11" i="2"/>
  <c r="F11" i="2" s="1"/>
  <c r="I22" i="2" s="1"/>
  <c r="D10" i="2"/>
  <c r="F10" i="2" s="1"/>
  <c r="I21" i="2" s="1"/>
  <c r="D9" i="2"/>
  <c r="F9" i="2" s="1"/>
  <c r="I20" i="2" s="1"/>
  <c r="D8" i="2"/>
  <c r="F8" i="2" s="1"/>
  <c r="I19" i="2" s="1"/>
  <c r="I18" i="2"/>
  <c r="C25" i="2" l="1"/>
  <c r="C26" i="2"/>
  <c r="D26" i="2" s="1"/>
  <c r="D18" i="2"/>
  <c r="F18" i="2" s="1"/>
  <c r="G18" i="2" s="1"/>
  <c r="I25" i="2"/>
  <c r="I33" i="2" s="1"/>
  <c r="I34" i="2" s="1"/>
  <c r="I36" i="2" s="1"/>
  <c r="D19" i="2"/>
  <c r="F22" i="2"/>
  <c r="F23" i="2"/>
  <c r="F50" i="2" s="1"/>
  <c r="F21" i="2"/>
  <c r="B35" i="2" s="1"/>
  <c r="C35" i="2" s="1"/>
  <c r="G34" i="2"/>
  <c r="G20" i="2"/>
  <c r="F47" i="2"/>
  <c r="B34" i="2"/>
  <c r="C34" i="2" s="1"/>
  <c r="D25" i="2" l="1"/>
  <c r="H46" i="2"/>
  <c r="H47" i="2" s="1"/>
  <c r="H49" i="2" s="1"/>
  <c r="H51" i="2" s="1"/>
  <c r="F48" i="2"/>
  <c r="G36" i="2"/>
  <c r="G22" i="2"/>
  <c r="G37" i="2"/>
  <c r="G23" i="2"/>
  <c r="B36" i="2"/>
  <c r="C36" i="2" s="1"/>
  <c r="B37" i="2"/>
  <c r="C37" i="2" s="1"/>
  <c r="G21" i="2"/>
  <c r="G35" i="2"/>
  <c r="F19" i="2"/>
  <c r="F49" i="2"/>
  <c r="B32" i="2"/>
  <c r="C32" i="2" s="1"/>
  <c r="B33" i="2" l="1"/>
  <c r="B38" i="2" s="1"/>
  <c r="F46" i="2"/>
  <c r="F25" i="2"/>
  <c r="F26" i="2" s="1"/>
  <c r="G26" i="2" s="1"/>
  <c r="G33" i="2"/>
  <c r="G38" i="2" s="1"/>
  <c r="I37" i="2" s="1"/>
  <c r="G19" i="2"/>
  <c r="C33" i="2" l="1"/>
  <c r="C38" i="2" s="1"/>
  <c r="D33" i="2" s="1"/>
  <c r="F51" i="2"/>
  <c r="G25" i="2"/>
  <c r="H19" i="2" s="1"/>
  <c r="E33" i="2" l="1"/>
  <c r="F33" i="2"/>
  <c r="H21" i="2"/>
  <c r="H20" i="2"/>
  <c r="H23" i="2"/>
  <c r="H22" i="2"/>
  <c r="D34" i="2"/>
  <c r="I45" i="2"/>
  <c r="J32" i="2"/>
  <c r="F39" i="2" s="1"/>
  <c r="C39" i="2"/>
  <c r="D35" i="2"/>
  <c r="D32" i="2"/>
  <c r="D37" i="2"/>
  <c r="D36" i="2"/>
  <c r="H25" i="2" l="1"/>
  <c r="E35" i="2"/>
  <c r="F35" i="2"/>
  <c r="F36" i="2"/>
  <c r="E36" i="2"/>
  <c r="F34" i="2"/>
  <c r="E34" i="2"/>
  <c r="E37" i="2"/>
  <c r="F37" i="2"/>
  <c r="F32" i="2"/>
  <c r="D38" i="2"/>
  <c r="E38" i="2" l="1"/>
  <c r="F38" i="2"/>
  <c r="J33" i="2" l="1"/>
  <c r="J34" i="2" s="1"/>
  <c r="I38" i="2" s="1"/>
  <c r="I39" i="2" s="1"/>
  <c r="I46" i="2"/>
  <c r="I47" i="2" s="1"/>
  <c r="I49" i="2" s="1"/>
  <c r="I51" i="2" s="1"/>
  <c r="J51" i="2" l="1"/>
  <c r="J52" i="2" s="1"/>
</calcChain>
</file>

<file path=xl/comments1.xml><?xml version="1.0" encoding="utf-8"?>
<comments xmlns="http://schemas.openxmlformats.org/spreadsheetml/2006/main">
  <authors>
    <author>David Braziel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David Braziel:</t>
        </r>
        <r>
          <rPr>
            <sz val="9"/>
            <color indexed="81"/>
            <rFont val="Tahoma"/>
            <family val="2"/>
          </rPr>
          <t xml:space="preserve">
Inlet GPM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David Braziel:</t>
        </r>
        <r>
          <rPr>
            <sz val="9"/>
            <color indexed="81"/>
            <rFont val="Tahoma"/>
            <family val="2"/>
          </rPr>
          <t xml:space="preserve">
Inlet BBL/MM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David Braziel:</t>
        </r>
        <r>
          <rPr>
            <sz val="9"/>
            <color indexed="81"/>
            <rFont val="Tahoma"/>
            <family val="2"/>
          </rPr>
          <t xml:space="preserve">
Recovered GPM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David Braziel:</t>
        </r>
        <r>
          <rPr>
            <sz val="9"/>
            <color indexed="81"/>
            <rFont val="Tahoma"/>
            <family val="2"/>
          </rPr>
          <t xml:space="preserve">
Recovered BBL/MM</t>
        </r>
      </text>
    </comment>
  </commentList>
</comments>
</file>

<file path=xl/sharedStrings.xml><?xml version="1.0" encoding="utf-8"?>
<sst xmlns="http://schemas.openxmlformats.org/spreadsheetml/2006/main" count="155" uniqueCount="113">
  <si>
    <t>Available</t>
  </si>
  <si>
    <t>GPM</t>
  </si>
  <si>
    <t xml:space="preserve">Gross </t>
  </si>
  <si>
    <t>Feed Gas</t>
  </si>
  <si>
    <t>Liquids</t>
  </si>
  <si>
    <t>Ethane</t>
  </si>
  <si>
    <t>Propane</t>
  </si>
  <si>
    <t>Isobutane</t>
  </si>
  <si>
    <t>Normal Butane</t>
  </si>
  <si>
    <t>Pentanes+</t>
  </si>
  <si>
    <t>Methane</t>
  </si>
  <si>
    <t>%</t>
  </si>
  <si>
    <t>Compound</t>
  </si>
  <si>
    <t>Inerts (N, CO2)</t>
  </si>
  <si>
    <t>Cu. Ft/lb mole</t>
  </si>
  <si>
    <t>Natural Gasoline</t>
  </si>
  <si>
    <t xml:space="preserve">Residue </t>
  </si>
  <si>
    <t>Residue</t>
  </si>
  <si>
    <t xml:space="preserve">Product </t>
  </si>
  <si>
    <t>Product Prices</t>
  </si>
  <si>
    <t>Inlet</t>
  </si>
  <si>
    <t>Outlet</t>
  </si>
  <si>
    <t>Gas Value</t>
  </si>
  <si>
    <t>Per Day</t>
  </si>
  <si>
    <t>Less T&amp;F</t>
  </si>
  <si>
    <t>in Residue</t>
  </si>
  <si>
    <t>Gross HV</t>
  </si>
  <si>
    <t>Balance</t>
  </si>
  <si>
    <t>Value/d</t>
  </si>
  <si>
    <t>Total</t>
  </si>
  <si>
    <t>This model developed by RBN Energy, LLC</t>
  </si>
  <si>
    <t>E. Russell Braziel</t>
  </si>
  <si>
    <t>RBN Energy, LLC</t>
  </si>
  <si>
    <t>3333 Allen Parkway, Suite 1807</t>
  </si>
  <si>
    <t>Houston, TX, 77019</t>
  </si>
  <si>
    <t xml:space="preserve">888-400-9838 (office)  </t>
  </si>
  <si>
    <t>713-391-8421 (fax)</t>
  </si>
  <si>
    <t>903-881-9260 (direct)</t>
  </si>
  <si>
    <t>Model developed by RBN Energy, LLC</t>
  </si>
  <si>
    <t>www.rbnenergy.com</t>
  </si>
  <si>
    <t>Net Value</t>
  </si>
  <si>
    <t>Ethane Rejection Value</t>
    <phoneticPr fontId="0" type="noConversion"/>
  </si>
  <si>
    <t>Premise</t>
  </si>
  <si>
    <t>Instructions</t>
  </si>
  <si>
    <t>Table A:</t>
  </si>
  <si>
    <t>Table B:</t>
  </si>
  <si>
    <t>Table C:</t>
  </si>
  <si>
    <t xml:space="preserve">Standard factors we use in our calculations.  These should not be changed.  </t>
  </si>
  <si>
    <t>Table D:</t>
  </si>
  <si>
    <t>Table A:  Standard Factors</t>
  </si>
  <si>
    <t xml:space="preserve">Table B:  Liquids Quantities </t>
  </si>
  <si>
    <t>RBN Processing Economics Model</t>
  </si>
  <si>
    <t>Table C:  Residue Gas</t>
  </si>
  <si>
    <t>Table D:  Natural Gas Processing Value Calculation</t>
  </si>
  <si>
    <t>Input #cellref</t>
  </si>
  <si>
    <t xml:space="preserve">Compound </t>
  </si>
  <si>
    <t>B18</t>
  </si>
  <si>
    <t>B19</t>
  </si>
  <si>
    <t>B20</t>
  </si>
  <si>
    <t>B21</t>
  </si>
  <si>
    <t>B22</t>
  </si>
  <si>
    <t>B23</t>
  </si>
  <si>
    <t>B24</t>
  </si>
  <si>
    <t xml:space="preserve">This model is used to test the sensitivity of a plant’s economic uplift to different processing scenarios, such as determining whether ethane rejection would be beneficial to a processing plant’s bottom line.
</t>
  </si>
  <si>
    <t>The goal of the model is to calculate the net value per day a processing plant generates running a given raw gas stream using given recovery parameters and specific natural gas and natural gas liquid prices</t>
  </si>
  <si>
    <t xml:space="preserve">We've made several simplifying assumptions </t>
  </si>
  <si>
    <t xml:space="preserve">The RBN gas processing economics model makes several simplifying assumptions:
</t>
  </si>
  <si>
    <t>1) No plant fuel or loss</t>
  </si>
  <si>
    <t>2) No calculation of contractual processing rights</t>
  </si>
  <si>
    <t>3) No calculations of water content or other engineering refinements</t>
  </si>
  <si>
    <t>Liquid Quantities generated by the plant given a specific inlet gas stream and recovery parameters</t>
  </si>
  <si>
    <t>Residue Gas volumes and heating values</t>
  </si>
  <si>
    <t>Natural Gas Processing Value Calculation</t>
  </si>
  <si>
    <t>Our focus will be on running scenarios processing gas from Eagle Ford wells with and without ethane recovery</t>
  </si>
  <si>
    <t>The Processing Economics Model is organized into 4 tables.</t>
  </si>
  <si>
    <t>Estimated</t>
  </si>
  <si>
    <t>% Recovery</t>
  </si>
  <si>
    <t>Gal Liquid</t>
  </si>
  <si>
    <t>Gal/lb-mol</t>
  </si>
  <si>
    <t>Cnts/Gal</t>
  </si>
  <si>
    <t>$/Gal</t>
  </si>
  <si>
    <t>Value $/Day</t>
  </si>
  <si>
    <t>ft³ Gas/</t>
  </si>
  <si>
    <t>Shrink Percent</t>
  </si>
  <si>
    <t>Volume MMbtu/d</t>
  </si>
  <si>
    <t>$/MMbtu</t>
  </si>
  <si>
    <t>Price/MMbtu</t>
  </si>
  <si>
    <t>Gallons per Mcf (GPM)</t>
  </si>
  <si>
    <t>MMcf/D</t>
  </si>
  <si>
    <t>Volume Mcf/d</t>
  </si>
  <si>
    <t>MMbtu/Mcf</t>
  </si>
  <si>
    <t>Uplift per Mcf</t>
  </si>
  <si>
    <t>btu/Gal</t>
  </si>
  <si>
    <t>btu/ft³</t>
  </si>
  <si>
    <t>btu</t>
  </si>
  <si>
    <t>btu Value</t>
  </si>
  <si>
    <t>Inlet btu/d</t>
  </si>
  <si>
    <t>Outlet btu/d</t>
  </si>
  <si>
    <t>Inlet Volume (MMcf/d)</t>
  </si>
  <si>
    <t>Shrinkage Volume (MMcf/d)</t>
  </si>
  <si>
    <t>bbl/d</t>
  </si>
  <si>
    <t>gal/d</t>
  </si>
  <si>
    <t>of NGL</t>
  </si>
  <si>
    <t>Outlet NGL/d</t>
  </si>
  <si>
    <t>NGL Inlet GPM &amp; bbl/MM</t>
  </si>
  <si>
    <t>Recovered GPM &amp; bbl/MM</t>
  </si>
  <si>
    <t>User Edited</t>
  </si>
  <si>
    <t>Gas Analysis Scenarios</t>
  </si>
  <si>
    <t>Mol % A</t>
  </si>
  <si>
    <t>Mol % B</t>
  </si>
  <si>
    <t>Mol % C</t>
  </si>
  <si>
    <t>% of cf</t>
  </si>
  <si>
    <t>Eagle Ford Samples Gas Composition in Mol%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</si>
</sst>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* #,##0.0000_);_(* \(#,##0.0000\);_(* &quot;-&quot;??_);_(@_)"/>
    <numFmt numFmtId="167" formatCode="_(* #,##0.000_);_(* \(#,##0.000\);_(* &quot;-&quot;??_);_(@_)"/>
    <numFmt numFmtId="168" formatCode="_(* #,##0.0_);_(* \(#,##0.0\);_(* &quot;-&quot;??_);_(@_)"/>
    <numFmt numFmtId="169" formatCode="_(&quot;$&quot;* #,##0_);_(&quot;$&quot;* \(#,##0\);_(&quot;$&quot;* &quot;-&quot;??_);_(@_)"/>
    <numFmt numFmtId="170" formatCode="_(* #,##0.00000_);_(* \(#,##0.00000\);_(* &quot;-&quot;??_);_(@_)"/>
    <numFmt numFmtId="171" formatCode="_(* #,##0.000000_);_(* \(#,##0.000000\);_(* &quot;-&quot;??_);_(@_)"/>
    <numFmt numFmtId="172" formatCode="_(* #,##0.0000000_);_(* \(#,##0.0000000\);_(* &quot;-&quot;??_);_(@_)"/>
    <numFmt numFmtId="173" formatCode="[$-409]mmmm\ d\,\ yyyy;@"/>
    <numFmt numFmtId="174" formatCode="#,##0.000"/>
    <numFmt numFmtId="175" formatCode="#,##0.0_);\(#,##0.0\)"/>
    <numFmt numFmtId="176" formatCode="0.0"/>
    <numFmt numFmtId="178" formatCode="* #,##0.00;* \(#,##0.00\);* \-00"/>
    <numFmt numFmtId="179" formatCode="m/d/yyyy;;"/>
    <numFmt numFmtId="180" formatCode="#.00;\-#.00;0.00"/>
    <numFmt numFmtId="181" formatCode="#.00%;\-#.00%;0.00%;&quot;%&quot;"/>
    <numFmt numFmtId="182" formatCode="#;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4"/>
      <color rgb="FF7030A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179" fontId="25" fillId="0" borderId="0" applyNumberFormat="0" applyFill="0" applyBorder="0" applyAlignment="0" applyProtection="0">
      <alignment horizontal="right"/>
    </xf>
    <xf numFmtId="180" fontId="25" fillId="0" borderId="0" applyNumberFormat="0" applyFill="0" applyBorder="0" applyAlignment="0" applyProtection="0">
      <alignment horizontal="right"/>
    </xf>
    <xf numFmtId="181" fontId="25" fillId="0" borderId="0" applyNumberFormat="0" applyFill="0" applyBorder="0" applyAlignment="0" applyProtection="0">
      <alignment horizontal="right"/>
    </xf>
    <xf numFmtId="180" fontId="25" fillId="0" borderId="0" applyNumberFormat="0" applyFill="0" applyBorder="0" applyAlignment="0" applyProtection="0">
      <alignment horizontal="right"/>
    </xf>
    <xf numFmtId="0" fontId="25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horizontal="left"/>
    </xf>
    <xf numFmtId="182" fontId="25" fillId="0" borderId="0" applyNumberFormat="0" applyFill="0" applyBorder="0" applyAlignment="0" applyProtection="0">
      <alignment horizontal="right"/>
    </xf>
  </cellStyleXfs>
  <cellXfs count="303">
    <xf numFmtId="0" fontId="0" fillId="0" borderId="0" xfId="0"/>
    <xf numFmtId="43" fontId="4" fillId="0" borderId="1" xfId="3" applyFont="1" applyBorder="1"/>
    <xf numFmtId="9" fontId="4" fillId="0" borderId="1" xfId="10" applyFont="1" applyBorder="1" applyAlignment="1">
      <alignment horizontal="center"/>
    </xf>
    <xf numFmtId="9" fontId="4" fillId="0" borderId="5" xfId="10" applyFont="1" applyBorder="1" applyAlignment="1">
      <alignment horizontal="center"/>
    </xf>
    <xf numFmtId="43" fontId="4" fillId="0" borderId="8" xfId="3" applyFont="1" applyBorder="1"/>
    <xf numFmtId="43" fontId="4" fillId="0" borderId="10" xfId="3" applyFont="1" applyBorder="1"/>
    <xf numFmtId="165" fontId="4" fillId="0" borderId="5" xfId="3" applyNumberFormat="1" applyFont="1" applyBorder="1" applyAlignment="1">
      <alignment horizontal="right"/>
    </xf>
    <xf numFmtId="165" fontId="4" fillId="0" borderId="1" xfId="3" applyNumberFormat="1" applyFont="1" applyBorder="1" applyAlignment="1">
      <alignment horizontal="right"/>
    </xf>
    <xf numFmtId="38" fontId="5" fillId="0" borderId="12" xfId="1" applyNumberFormat="1" applyFont="1" applyBorder="1"/>
    <xf numFmtId="38" fontId="5" fillId="0" borderId="13" xfId="1" applyNumberFormat="1" applyFont="1" applyBorder="1"/>
    <xf numFmtId="165" fontId="4" fillId="0" borderId="10" xfId="3" applyNumberFormat="1" applyFont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164" fontId="6" fillId="3" borderId="17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164" fontId="6" fillId="3" borderId="19" xfId="1" applyNumberFormat="1" applyFont="1" applyFill="1" applyBorder="1" applyAlignment="1">
      <alignment horizontal="center"/>
    </xf>
    <xf numFmtId="164" fontId="6" fillId="3" borderId="20" xfId="1" applyNumberFormat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164" fontId="6" fillId="3" borderId="21" xfId="1" applyNumberFormat="1" applyFont="1" applyFill="1" applyBorder="1" applyAlignment="1">
      <alignment horizontal="center"/>
    </xf>
    <xf numFmtId="43" fontId="4" fillId="0" borderId="1" xfId="3" applyNumberFormat="1" applyFont="1" applyFill="1" applyBorder="1" applyAlignment="1">
      <alignment horizontal="center"/>
    </xf>
    <xf numFmtId="165" fontId="4" fillId="0" borderId="11" xfId="3" applyNumberFormat="1" applyFont="1" applyBorder="1" applyAlignment="1">
      <alignment horizontal="center"/>
    </xf>
    <xf numFmtId="165" fontId="4" fillId="0" borderId="7" xfId="3" applyNumberFormat="1" applyFont="1" applyBorder="1" applyAlignment="1">
      <alignment horizontal="center"/>
    </xf>
    <xf numFmtId="165" fontId="4" fillId="0" borderId="23" xfId="3" applyNumberFormat="1" applyFont="1" applyBorder="1" applyAlignment="1">
      <alignment horizontal="center"/>
    </xf>
    <xf numFmtId="166" fontId="4" fillId="0" borderId="1" xfId="4" applyNumberFormat="1" applyFont="1" applyBorder="1" applyAlignment="1">
      <alignment horizontal="center"/>
    </xf>
    <xf numFmtId="166" fontId="13" fillId="5" borderId="1" xfId="4" applyNumberFormat="1" applyFont="1" applyFill="1" applyBorder="1" applyAlignment="1">
      <alignment horizontal="center"/>
    </xf>
    <xf numFmtId="165" fontId="4" fillId="0" borderId="0" xfId="3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65" fontId="4" fillId="0" borderId="26" xfId="3" applyNumberFormat="1" applyFont="1" applyBorder="1" applyAlignment="1">
      <alignment horizontal="center"/>
    </xf>
    <xf numFmtId="44" fontId="4" fillId="0" borderId="26" xfId="6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164" fontId="6" fillId="3" borderId="8" xfId="1" applyNumberFormat="1" applyFont="1" applyFill="1" applyBorder="1" applyAlignment="1">
      <alignment horizontal="center"/>
    </xf>
    <xf numFmtId="164" fontId="6" fillId="3" borderId="24" xfId="1" applyNumberFormat="1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14" fillId="3" borderId="19" xfId="9" applyFont="1" applyFill="1" applyBorder="1" applyAlignment="1">
      <alignment horizontal="center"/>
    </xf>
    <xf numFmtId="168" fontId="4" fillId="0" borderId="0" xfId="0" applyNumberFormat="1" applyFont="1" applyBorder="1"/>
    <xf numFmtId="0" fontId="4" fillId="0" borderId="12" xfId="1" applyFont="1" applyBorder="1" applyAlignment="1">
      <alignment horizontal="center"/>
    </xf>
    <xf numFmtId="167" fontId="4" fillId="0" borderId="26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6" fontId="4" fillId="0" borderId="5" xfId="4" applyNumberFormat="1" applyFont="1" applyBorder="1" applyAlignment="1">
      <alignment horizontal="center"/>
    </xf>
    <xf numFmtId="164" fontId="6" fillId="3" borderId="17" xfId="2" applyNumberFormat="1" applyFont="1" applyFill="1" applyBorder="1" applyAlignment="1">
      <alignment horizontal="center"/>
    </xf>
    <xf numFmtId="164" fontId="6" fillId="3" borderId="39" xfId="2" applyNumberFormat="1" applyFont="1" applyFill="1" applyBorder="1" applyAlignment="1">
      <alignment horizontal="center"/>
    </xf>
    <xf numFmtId="165" fontId="4" fillId="0" borderId="15" xfId="4" applyNumberFormat="1" applyFont="1" applyBorder="1" applyAlignment="1">
      <alignment horizontal="center"/>
    </xf>
    <xf numFmtId="165" fontId="4" fillId="0" borderId="40" xfId="4" applyNumberFormat="1" applyFont="1" applyBorder="1" applyAlignment="1">
      <alignment horizontal="center"/>
    </xf>
    <xf numFmtId="164" fontId="6" fillId="3" borderId="34" xfId="2" applyNumberFormat="1" applyFont="1" applyFill="1" applyBorder="1" applyAlignment="1">
      <alignment horizontal="center"/>
    </xf>
    <xf numFmtId="166" fontId="4" fillId="0" borderId="10" xfId="4" applyNumberFormat="1" applyFont="1" applyBorder="1" applyAlignment="1">
      <alignment horizontal="center"/>
    </xf>
    <xf numFmtId="167" fontId="4" fillId="0" borderId="26" xfId="3" applyNumberFormat="1" applyFont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5" fontId="4" fillId="0" borderId="42" xfId="3" applyNumberFormat="1" applyFont="1" applyBorder="1" applyAlignment="1">
      <alignment horizontal="center"/>
    </xf>
    <xf numFmtId="167" fontId="4" fillId="0" borderId="42" xfId="3" applyNumberFormat="1" applyFont="1" applyBorder="1" applyAlignment="1">
      <alignment horizontal="center"/>
    </xf>
    <xf numFmtId="44" fontId="4" fillId="0" borderId="42" xfId="1" applyNumberFormat="1" applyFont="1" applyBorder="1" applyAlignment="1">
      <alignment horizontal="center"/>
    </xf>
    <xf numFmtId="165" fontId="4" fillId="0" borderId="14" xfId="4" applyNumberFormat="1" applyFont="1" applyBorder="1" applyAlignment="1">
      <alignment horizontal="center"/>
    </xf>
    <xf numFmtId="166" fontId="13" fillId="5" borderId="3" xfId="4" applyNumberFormat="1" applyFont="1" applyFill="1" applyBorder="1" applyAlignment="1">
      <alignment horizontal="center"/>
    </xf>
    <xf numFmtId="164" fontId="6" fillId="3" borderId="28" xfId="2" applyNumberFormat="1" applyFont="1" applyFill="1" applyBorder="1" applyAlignment="1">
      <alignment horizontal="center"/>
    </xf>
    <xf numFmtId="164" fontId="6" fillId="3" borderId="19" xfId="2" applyNumberFormat="1" applyFont="1" applyFill="1" applyBorder="1" applyAlignment="1">
      <alignment horizontal="center"/>
    </xf>
    <xf numFmtId="164" fontId="6" fillId="3" borderId="35" xfId="2" applyNumberFormat="1" applyFont="1" applyFill="1" applyBorder="1" applyAlignment="1">
      <alignment horizontal="center"/>
    </xf>
    <xf numFmtId="38" fontId="5" fillId="0" borderId="33" xfId="1" applyNumberFormat="1" applyFont="1" applyBorder="1"/>
    <xf numFmtId="0" fontId="6" fillId="4" borderId="0" xfId="1" applyFont="1" applyFill="1" applyBorder="1" applyAlignment="1">
      <alignment horizontal="center"/>
    </xf>
    <xf numFmtId="164" fontId="6" fillId="3" borderId="32" xfId="2" applyNumberFormat="1" applyFont="1" applyFill="1" applyBorder="1" applyAlignment="1">
      <alignment horizontal="center"/>
    </xf>
    <xf numFmtId="164" fontId="6" fillId="3" borderId="46" xfId="2" applyNumberFormat="1" applyFont="1" applyFill="1" applyBorder="1" applyAlignment="1">
      <alignment horizontal="center"/>
    </xf>
    <xf numFmtId="43" fontId="4" fillId="0" borderId="48" xfId="4" applyNumberFormat="1" applyFont="1" applyBorder="1" applyAlignment="1">
      <alignment horizontal="center"/>
    </xf>
    <xf numFmtId="165" fontId="4" fillId="0" borderId="45" xfId="4" applyNumberFormat="1" applyFont="1" applyBorder="1" applyAlignment="1">
      <alignment horizontal="center"/>
    </xf>
    <xf numFmtId="43" fontId="4" fillId="0" borderId="46" xfId="4" applyNumberFormat="1" applyFont="1" applyBorder="1" applyAlignment="1">
      <alignment horizontal="center"/>
    </xf>
    <xf numFmtId="43" fontId="4" fillId="0" borderId="3" xfId="4" applyNumberFormat="1" applyFont="1" applyBorder="1" applyAlignment="1">
      <alignment horizontal="center"/>
    </xf>
    <xf numFmtId="43" fontId="4" fillId="0" borderId="2" xfId="4" applyNumberFormat="1" applyFont="1" applyBorder="1" applyAlignment="1">
      <alignment horizontal="center"/>
    </xf>
    <xf numFmtId="43" fontId="4" fillId="0" borderId="4" xfId="4" applyNumberFormat="1" applyFont="1" applyBorder="1" applyAlignment="1">
      <alignment horizontal="center"/>
    </xf>
    <xf numFmtId="165" fontId="4" fillId="4" borderId="0" xfId="3" applyNumberFormat="1" applyFont="1" applyFill="1" applyBorder="1" applyAlignment="1">
      <alignment horizontal="center"/>
    </xf>
    <xf numFmtId="166" fontId="0" fillId="4" borderId="0" xfId="0" applyNumberFormat="1" applyFill="1" applyBorder="1"/>
    <xf numFmtId="0" fontId="0" fillId="4" borderId="0" xfId="0" applyFill="1" applyBorder="1"/>
    <xf numFmtId="166" fontId="4" fillId="4" borderId="0" xfId="3" applyNumberFormat="1" applyFont="1" applyFill="1" applyBorder="1" applyAlignment="1">
      <alignment horizontal="center"/>
    </xf>
    <xf numFmtId="43" fontId="4" fillId="4" borderId="0" xfId="3" applyFont="1" applyFill="1" applyBorder="1"/>
    <xf numFmtId="0" fontId="4" fillId="4" borderId="0" xfId="0" applyFont="1" applyFill="1" applyBorder="1"/>
    <xf numFmtId="166" fontId="15" fillId="0" borderId="10" xfId="4" applyNumberFormat="1" applyFont="1" applyBorder="1" applyAlignment="1">
      <alignment horizontal="center"/>
    </xf>
    <xf numFmtId="166" fontId="15" fillId="0" borderId="1" xfId="4" applyNumberFormat="1" applyFont="1" applyBorder="1" applyAlignment="1">
      <alignment horizontal="center"/>
    </xf>
    <xf numFmtId="166" fontId="15" fillId="0" borderId="5" xfId="4" applyNumberFormat="1" applyFont="1" applyBorder="1" applyAlignment="1">
      <alignment horizontal="center"/>
    </xf>
    <xf numFmtId="166" fontId="15" fillId="0" borderId="2" xfId="4" applyNumberFormat="1" applyFont="1" applyBorder="1" applyAlignment="1">
      <alignment horizontal="center"/>
    </xf>
    <xf numFmtId="166" fontId="15" fillId="0" borderId="4" xfId="4" applyNumberFormat="1" applyFont="1" applyBorder="1" applyAlignment="1">
      <alignment horizontal="center"/>
    </xf>
    <xf numFmtId="166" fontId="4" fillId="4" borderId="0" xfId="4" applyNumberFormat="1" applyFont="1" applyFill="1" applyBorder="1" applyAlignment="1">
      <alignment horizontal="center"/>
    </xf>
    <xf numFmtId="43" fontId="4" fillId="4" borderId="0" xfId="4" applyNumberFormat="1" applyFont="1" applyFill="1" applyBorder="1" applyAlignment="1">
      <alignment horizontal="center"/>
    </xf>
    <xf numFmtId="169" fontId="4" fillId="4" borderId="0" xfId="6" applyNumberFormat="1" applyFont="1" applyFill="1" applyBorder="1"/>
    <xf numFmtId="37" fontId="4" fillId="4" borderId="0" xfId="6" applyNumberFormat="1" applyFont="1" applyFill="1" applyBorder="1"/>
    <xf numFmtId="0" fontId="10" fillId="4" borderId="29" xfId="1" applyFont="1" applyFill="1" applyBorder="1" applyAlignment="1">
      <alignment horizontal="center"/>
    </xf>
    <xf numFmtId="0" fontId="0" fillId="4" borderId="16" xfId="0" applyFill="1" applyBorder="1"/>
    <xf numFmtId="0" fontId="0" fillId="4" borderId="50" xfId="0" applyFill="1" applyBorder="1"/>
    <xf numFmtId="165" fontId="4" fillId="4" borderId="12" xfId="3" applyNumberFormat="1" applyFont="1" applyFill="1" applyBorder="1" applyAlignment="1">
      <alignment horizontal="center"/>
    </xf>
    <xf numFmtId="0" fontId="10" fillId="4" borderId="0" xfId="3" applyNumberFormat="1" applyFont="1" applyFill="1" applyBorder="1" applyAlignment="1">
      <alignment horizontal="center"/>
    </xf>
    <xf numFmtId="0" fontId="10" fillId="4" borderId="42" xfId="3" applyNumberFormat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/>
    </xf>
    <xf numFmtId="0" fontId="9" fillId="4" borderId="0" xfId="1" quotePrefix="1" applyFont="1" applyFill="1" applyBorder="1" applyAlignment="1">
      <alignment horizontal="center"/>
    </xf>
    <xf numFmtId="0" fontId="0" fillId="4" borderId="42" xfId="0" applyFill="1" applyBorder="1"/>
    <xf numFmtId="0" fontId="6" fillId="4" borderId="12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166" fontId="10" fillId="4" borderId="0" xfId="1" applyNumberFormat="1" applyFont="1" applyFill="1" applyBorder="1" applyAlignment="1">
      <alignment horizontal="center"/>
    </xf>
    <xf numFmtId="167" fontId="2" fillId="4" borderId="42" xfId="0" applyNumberFormat="1" applyFont="1" applyFill="1" applyBorder="1"/>
    <xf numFmtId="165" fontId="10" fillId="4" borderId="0" xfId="3" applyNumberFormat="1" applyFont="1" applyFill="1" applyBorder="1" applyAlignment="1">
      <alignment horizontal="center"/>
    </xf>
    <xf numFmtId="165" fontId="4" fillId="4" borderId="13" xfId="3" applyNumberFormat="1" applyFont="1" applyFill="1" applyBorder="1" applyAlignment="1">
      <alignment horizontal="center"/>
    </xf>
    <xf numFmtId="165" fontId="10" fillId="4" borderId="20" xfId="3" applyNumberFormat="1" applyFont="1" applyFill="1" applyBorder="1" applyAlignment="1">
      <alignment horizontal="center"/>
    </xf>
    <xf numFmtId="0" fontId="0" fillId="4" borderId="44" xfId="0" applyFill="1" applyBorder="1"/>
    <xf numFmtId="165" fontId="2" fillId="4" borderId="0" xfId="3" applyNumberFormat="1" applyFont="1" applyFill="1" applyBorder="1" applyAlignment="1">
      <alignment horizontal="center"/>
    </xf>
    <xf numFmtId="43" fontId="13" fillId="5" borderId="10" xfId="4" applyNumberFormat="1" applyFont="1" applyFill="1" applyBorder="1" applyAlignment="1">
      <alignment horizontal="center"/>
    </xf>
    <xf numFmtId="0" fontId="0" fillId="4" borderId="13" xfId="0" applyFill="1" applyBorder="1"/>
    <xf numFmtId="0" fontId="0" fillId="4" borderId="20" xfId="0" applyFill="1" applyBorder="1"/>
    <xf numFmtId="0" fontId="10" fillId="4" borderId="20" xfId="1" applyFont="1" applyFill="1" applyBorder="1" applyAlignment="1">
      <alignment horizontal="center"/>
    </xf>
    <xf numFmtId="0" fontId="0" fillId="4" borderId="12" xfId="0" applyFill="1" applyBorder="1"/>
    <xf numFmtId="165" fontId="0" fillId="0" borderId="0" xfId="0" applyNumberFormat="1" applyFill="1" applyBorder="1"/>
    <xf numFmtId="0" fontId="0" fillId="0" borderId="0" xfId="0" applyFill="1"/>
    <xf numFmtId="0" fontId="10" fillId="0" borderId="0" xfId="1" applyFont="1" applyFill="1" applyAlignment="1">
      <alignment horizontal="center"/>
    </xf>
    <xf numFmtId="0" fontId="0" fillId="0" borderId="0" xfId="1" applyFont="1" applyFill="1" applyAlignment="1">
      <alignment horizontal="center"/>
    </xf>
    <xf numFmtId="0" fontId="0" fillId="0" borderId="0" xfId="3" applyNumberFormat="1" applyFont="1" applyFill="1" applyAlignment="1">
      <alignment horizontal="center"/>
    </xf>
    <xf numFmtId="43" fontId="0" fillId="0" borderId="0" xfId="0" applyNumberFormat="1" applyFill="1"/>
    <xf numFmtId="0" fontId="0" fillId="0" borderId="0" xfId="0" applyFill="1" applyBorder="1"/>
    <xf numFmtId="0" fontId="0" fillId="0" borderId="0" xfId="1" applyFont="1" applyFill="1" applyBorder="1" applyAlignment="1">
      <alignment horizontal="center"/>
    </xf>
    <xf numFmtId="9" fontId="4" fillId="0" borderId="0" xfId="10" applyFont="1" applyFill="1" applyBorder="1"/>
    <xf numFmtId="173" fontId="0" fillId="0" borderId="0" xfId="0" applyNumberFormat="1" applyFill="1" applyAlignment="1">
      <alignment horizontal="left"/>
    </xf>
    <xf numFmtId="171" fontId="0" fillId="4" borderId="0" xfId="0" applyNumberFormat="1" applyFill="1" applyBorder="1"/>
    <xf numFmtId="172" fontId="0" fillId="4" borderId="0" xfId="0" applyNumberFormat="1" applyFill="1" applyBorder="1"/>
    <xf numFmtId="173" fontId="0" fillId="0" borderId="0" xfId="1" applyNumberFormat="1" applyFont="1" applyBorder="1" applyAlignment="1">
      <alignment horizontal="center"/>
    </xf>
    <xf numFmtId="0" fontId="12" fillId="0" borderId="0" xfId="8" applyBorder="1" applyAlignment="1">
      <alignment horizontal="center"/>
    </xf>
    <xf numFmtId="165" fontId="0" fillId="4" borderId="0" xfId="0" applyNumberFormat="1" applyFill="1" applyBorder="1"/>
    <xf numFmtId="43" fontId="0" fillId="4" borderId="20" xfId="0" applyNumberFormat="1" applyFill="1" applyBorder="1"/>
    <xf numFmtId="169" fontId="0" fillId="0" borderId="0" xfId="0" applyNumberFormat="1" applyFill="1"/>
    <xf numFmtId="43" fontId="0" fillId="0" borderId="0" xfId="0" applyNumberFormat="1" applyFill="1" applyBorder="1"/>
    <xf numFmtId="0" fontId="4" fillId="0" borderId="0" xfId="1" applyFont="1" applyFill="1" applyAlignment="1">
      <alignment horizontal="center"/>
    </xf>
    <xf numFmtId="0" fontId="16" fillId="0" borderId="0" xfId="0" applyFont="1"/>
    <xf numFmtId="3" fontId="4" fillId="8" borderId="1" xfId="0" applyNumberFormat="1" applyFont="1" applyFill="1" applyBorder="1"/>
    <xf numFmtId="3" fontId="4" fillId="8" borderId="1" xfId="3" applyNumberFormat="1" applyFont="1" applyFill="1" applyBorder="1"/>
    <xf numFmtId="38" fontId="7" fillId="3" borderId="15" xfId="1" applyNumberFormat="1" applyFont="1" applyFill="1" applyBorder="1"/>
    <xf numFmtId="0" fontId="6" fillId="3" borderId="13" xfId="0" applyFont="1" applyFill="1" applyBorder="1"/>
    <xf numFmtId="0" fontId="6" fillId="3" borderId="26" xfId="0" applyFont="1" applyFill="1" applyBorder="1" applyAlignment="1">
      <alignment horizontal="center"/>
    </xf>
    <xf numFmtId="0" fontId="6" fillId="3" borderId="27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38" fontId="7" fillId="3" borderId="32" xfId="1" applyNumberFormat="1" applyFont="1" applyFill="1" applyBorder="1"/>
    <xf numFmtId="3" fontId="4" fillId="8" borderId="8" xfId="0" applyNumberFormat="1" applyFont="1" applyFill="1" applyBorder="1"/>
    <xf numFmtId="174" fontId="4" fillId="8" borderId="1" xfId="0" applyNumberFormat="1" applyFont="1" applyFill="1" applyBorder="1"/>
    <xf numFmtId="174" fontId="4" fillId="8" borderId="1" xfId="3" applyNumberFormat="1" applyFont="1" applyFill="1" applyBorder="1"/>
    <xf numFmtId="174" fontId="4" fillId="8" borderId="8" xfId="0" applyNumberFormat="1" applyFont="1" applyFill="1" applyBorder="1"/>
    <xf numFmtId="3" fontId="4" fillId="0" borderId="1" xfId="0" applyNumberFormat="1" applyFont="1" applyFill="1" applyBorder="1"/>
    <xf numFmtId="3" fontId="4" fillId="0" borderId="1" xfId="3" applyNumberFormat="1" applyFont="1" applyFill="1" applyBorder="1"/>
    <xf numFmtId="3" fontId="4" fillId="0" borderId="8" xfId="0" applyNumberFormat="1" applyFont="1" applyFill="1" applyBorder="1"/>
    <xf numFmtId="38" fontId="7" fillId="3" borderId="29" xfId="1" applyNumberFormat="1" applyFont="1" applyFill="1" applyBorder="1"/>
    <xf numFmtId="38" fontId="7" fillId="3" borderId="13" xfId="1" applyNumberFormat="1" applyFont="1" applyFill="1" applyBorder="1"/>
    <xf numFmtId="167" fontId="0" fillId="4" borderId="42" xfId="0" applyNumberFormat="1" applyFill="1" applyBorder="1"/>
    <xf numFmtId="166" fontId="0" fillId="4" borderId="42" xfId="0" applyNumberFormat="1" applyFill="1" applyBorder="1"/>
    <xf numFmtId="0" fontId="0" fillId="0" borderId="12" xfId="0" applyFill="1" applyBorder="1"/>
    <xf numFmtId="0" fontId="6" fillId="4" borderId="42" xfId="1" applyFont="1" applyFill="1" applyBorder="1" applyAlignment="1">
      <alignment horizontal="center"/>
    </xf>
    <xf numFmtId="0" fontId="4" fillId="4" borderId="42" xfId="3" applyNumberFormat="1" applyFont="1" applyFill="1" applyBorder="1" applyAlignment="1">
      <alignment horizontal="center"/>
    </xf>
    <xf numFmtId="164" fontId="6" fillId="4" borderId="42" xfId="1" applyNumberFormat="1" applyFont="1" applyFill="1" applyBorder="1" applyAlignment="1">
      <alignment horizontal="center"/>
    </xf>
    <xf numFmtId="165" fontId="4" fillId="4" borderId="42" xfId="3" applyNumberFormat="1" applyFont="1" applyFill="1" applyBorder="1" applyAlignment="1">
      <alignment horizontal="center"/>
    </xf>
    <xf numFmtId="165" fontId="4" fillId="4" borderId="42" xfId="3" applyNumberFormat="1" applyFont="1" applyFill="1" applyBorder="1"/>
    <xf numFmtId="0" fontId="4" fillId="4" borderId="42" xfId="0" applyFont="1" applyFill="1" applyBorder="1"/>
    <xf numFmtId="165" fontId="4" fillId="4" borderId="42" xfId="0" applyNumberFormat="1" applyFont="1" applyFill="1" applyBorder="1"/>
    <xf numFmtId="9" fontId="10" fillId="4" borderId="42" xfId="10" applyFont="1" applyFill="1" applyBorder="1"/>
    <xf numFmtId="0" fontId="4" fillId="4" borderId="12" xfId="0" applyFont="1" applyFill="1" applyBorder="1"/>
    <xf numFmtId="0" fontId="2" fillId="4" borderId="42" xfId="0" applyFont="1" applyFill="1" applyBorder="1"/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 indent="6" readingOrder="1"/>
    </xf>
    <xf numFmtId="0" fontId="2" fillId="0" borderId="0" xfId="0" applyFont="1" applyAlignment="1">
      <alignment horizontal="left" vertical="center" indent="6" readingOrder="1"/>
    </xf>
    <xf numFmtId="165" fontId="4" fillId="0" borderId="2" xfId="3" applyNumberFormat="1" applyFont="1" applyBorder="1" applyAlignment="1"/>
    <xf numFmtId="165" fontId="4" fillId="0" borderId="3" xfId="3" applyNumberFormat="1" applyFont="1" applyBorder="1" applyAlignment="1"/>
    <xf numFmtId="165" fontId="4" fillId="0" borderId="6" xfId="3" applyNumberFormat="1" applyFont="1" applyBorder="1" applyAlignment="1"/>
    <xf numFmtId="14" fontId="0" fillId="0" borderId="0" xfId="0" applyNumberFormat="1"/>
    <xf numFmtId="178" fontId="0" fillId="0" borderId="0" xfId="0" applyNumberFormat="1"/>
    <xf numFmtId="178" fontId="20" fillId="0" borderId="58" xfId="0" applyNumberFormat="1" applyFont="1" applyFill="1" applyBorder="1" applyAlignment="1" applyProtection="1">
      <alignment horizontal="right" vertical="center" wrapText="1"/>
    </xf>
    <xf numFmtId="3" fontId="6" fillId="3" borderId="1" xfId="0" applyNumberFormat="1" applyFont="1" applyFill="1" applyBorder="1"/>
    <xf numFmtId="0" fontId="21" fillId="0" borderId="16" xfId="0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/>
    </xf>
    <xf numFmtId="176" fontId="22" fillId="7" borderId="1" xfId="0" applyNumberFormat="1" applyFont="1" applyFill="1" applyBorder="1" applyAlignment="1">
      <alignment horizontal="center"/>
    </xf>
    <xf numFmtId="0" fontId="23" fillId="0" borderId="0" xfId="0" applyFont="1" applyFill="1" applyBorder="1"/>
    <xf numFmtId="38" fontId="23" fillId="0" borderId="0" xfId="0" applyNumberFormat="1" applyFont="1" applyFill="1" applyBorder="1"/>
    <xf numFmtId="43" fontId="4" fillId="2" borderId="5" xfId="3" applyFont="1" applyFill="1" applyBorder="1" applyAlignment="1">
      <alignment horizontal="center"/>
    </xf>
    <xf numFmtId="169" fontId="4" fillId="0" borderId="26" xfId="6" applyNumberFormat="1" applyFont="1" applyBorder="1" applyAlignment="1">
      <alignment horizontal="center"/>
    </xf>
    <xf numFmtId="169" fontId="4" fillId="0" borderId="0" xfId="6" applyNumberFormat="1" applyFont="1" applyBorder="1" applyAlignment="1">
      <alignment horizontal="center"/>
    </xf>
    <xf numFmtId="43" fontId="4" fillId="0" borderId="0" xfId="3" applyNumberFormat="1" applyFont="1" applyBorder="1"/>
    <xf numFmtId="43" fontId="4" fillId="0" borderId="5" xfId="3" applyNumberFormat="1" applyFont="1" applyFill="1" applyBorder="1" applyAlignment="1">
      <alignment horizontal="center"/>
    </xf>
    <xf numFmtId="0" fontId="4" fillId="0" borderId="12" xfId="0" applyFont="1" applyBorder="1"/>
    <xf numFmtId="165" fontId="4" fillId="0" borderId="20" xfId="3" applyNumberFormat="1" applyFont="1" applyFill="1" applyBorder="1" applyAlignment="1"/>
    <xf numFmtId="9" fontId="4" fillId="6" borderId="20" xfId="1" applyNumberFormat="1" applyFont="1" applyFill="1" applyBorder="1" applyAlignment="1"/>
    <xf numFmtId="43" fontId="4" fillId="0" borderId="20" xfId="3" applyNumberFormat="1" applyFont="1" applyFill="1" applyBorder="1" applyAlignment="1"/>
    <xf numFmtId="0" fontId="4" fillId="6" borderId="20" xfId="0" applyFont="1" applyFill="1" applyBorder="1"/>
    <xf numFmtId="0" fontId="4" fillId="6" borderId="44" xfId="0" applyFont="1" applyFill="1" applyBorder="1"/>
    <xf numFmtId="0" fontId="14" fillId="3" borderId="22" xfId="9" applyFont="1" applyFill="1" applyBorder="1" applyAlignment="1">
      <alignment horizontal="center"/>
    </xf>
    <xf numFmtId="38" fontId="7" fillId="3" borderId="30" xfId="1" applyNumberFormat="1" applyFont="1" applyFill="1" applyBorder="1"/>
    <xf numFmtId="0" fontId="0" fillId="0" borderId="20" xfId="0" applyFill="1" applyBorder="1"/>
    <xf numFmtId="9" fontId="4" fillId="0" borderId="35" xfId="10" applyFont="1" applyBorder="1" applyAlignment="1">
      <alignment horizontal="center"/>
    </xf>
    <xf numFmtId="0" fontId="6" fillId="0" borderId="61" xfId="0" applyFont="1" applyBorder="1" applyAlignment="1">
      <alignment horizontal="left" indent="1"/>
    </xf>
    <xf numFmtId="166" fontId="4" fillId="0" borderId="19" xfId="4" applyNumberFormat="1" applyFont="1" applyBorder="1" applyAlignment="1">
      <alignment horizontal="center"/>
    </xf>
    <xf numFmtId="9" fontId="4" fillId="6" borderId="19" xfId="1" applyNumberFormat="1" applyFont="1" applyFill="1" applyBorder="1" applyAlignment="1"/>
    <xf numFmtId="169" fontId="4" fillId="0" borderId="13" xfId="6" applyNumberFormat="1" applyFont="1" applyFill="1" applyBorder="1"/>
    <xf numFmtId="37" fontId="4" fillId="0" borderId="20" xfId="6" applyNumberFormat="1" applyFont="1" applyFill="1" applyBorder="1"/>
    <xf numFmtId="37" fontId="4" fillId="0" borderId="44" xfId="6" applyNumberFormat="1" applyFont="1" applyFill="1" applyBorder="1"/>
    <xf numFmtId="165" fontId="6" fillId="0" borderId="62" xfId="4" applyNumberFormat="1" applyFont="1" applyBorder="1" applyAlignment="1">
      <alignment horizontal="center"/>
    </xf>
    <xf numFmtId="166" fontId="6" fillId="0" borderId="8" xfId="4" applyNumberFormat="1" applyFont="1" applyBorder="1" applyAlignment="1">
      <alignment horizontal="center"/>
    </xf>
    <xf numFmtId="166" fontId="6" fillId="0" borderId="24" xfId="4" applyNumberFormat="1" applyFont="1" applyBorder="1" applyAlignment="1">
      <alignment horizontal="center"/>
    </xf>
    <xf numFmtId="43" fontId="6" fillId="0" borderId="24" xfId="4" applyNumberFormat="1" applyFont="1" applyBorder="1" applyAlignment="1">
      <alignment horizontal="center"/>
    </xf>
    <xf numFmtId="165" fontId="6" fillId="0" borderId="61" xfId="3" applyNumberFormat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37" xfId="0" applyFont="1" applyBorder="1"/>
    <xf numFmtId="0" fontId="4" fillId="2" borderId="52" xfId="1" applyFont="1" applyFill="1" applyBorder="1" applyAlignment="1">
      <alignment horizontal="center"/>
    </xf>
    <xf numFmtId="0" fontId="4" fillId="4" borderId="27" xfId="0" applyFont="1" applyFill="1" applyBorder="1"/>
    <xf numFmtId="43" fontId="4" fillId="2" borderId="1" xfId="3" applyFont="1" applyFill="1" applyBorder="1" applyAlignment="1">
      <alignment horizontal="center"/>
    </xf>
    <xf numFmtId="44" fontId="4" fillId="0" borderId="0" xfId="6" applyFont="1" applyBorder="1" applyAlignment="1">
      <alignment horizontal="center"/>
    </xf>
    <xf numFmtId="44" fontId="4" fillId="0" borderId="26" xfId="1" applyNumberFormat="1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4" fillId="3" borderId="24" xfId="9" applyFont="1" applyFill="1" applyBorder="1" applyAlignment="1">
      <alignment horizontal="center"/>
    </xf>
    <xf numFmtId="170" fontId="4" fillId="0" borderId="6" xfId="0" applyNumberFormat="1" applyFont="1" applyBorder="1"/>
    <xf numFmtId="170" fontId="4" fillId="0" borderId="3" xfId="0" applyNumberFormat="1" applyFont="1" applyBorder="1"/>
    <xf numFmtId="43" fontId="4" fillId="6" borderId="60" xfId="3" applyNumberFormat="1" applyFont="1" applyFill="1" applyBorder="1" applyAlignment="1"/>
    <xf numFmtId="43" fontId="4" fillId="6" borderId="1" xfId="3" applyNumberFormat="1" applyFont="1" applyFill="1" applyBorder="1" applyAlignment="1"/>
    <xf numFmtId="43" fontId="4" fillId="6" borderId="59" xfId="3" applyNumberFormat="1" applyFont="1" applyFill="1" applyBorder="1" applyAlignment="1"/>
    <xf numFmtId="43" fontId="4" fillId="0" borderId="19" xfId="3" applyNumberFormat="1" applyFont="1" applyFill="1" applyBorder="1"/>
    <xf numFmtId="43" fontId="4" fillId="2" borderId="63" xfId="3" applyFont="1" applyFill="1" applyBorder="1" applyAlignment="1">
      <alignment horizontal="center"/>
    </xf>
    <xf numFmtId="43" fontId="4" fillId="2" borderId="31" xfId="3" applyFont="1" applyFill="1" applyBorder="1" applyAlignment="1">
      <alignment horizontal="center"/>
    </xf>
    <xf numFmtId="0" fontId="4" fillId="0" borderId="64" xfId="1" applyFont="1" applyBorder="1" applyAlignment="1">
      <alignment horizontal="center"/>
    </xf>
    <xf numFmtId="0" fontId="6" fillId="0" borderId="62" xfId="1" applyFont="1" applyBorder="1" applyAlignment="1">
      <alignment horizontal="center"/>
    </xf>
    <xf numFmtId="169" fontId="6" fillId="0" borderId="25" xfId="1" applyNumberFormat="1" applyFont="1" applyBorder="1" applyAlignment="1">
      <alignment horizontal="center"/>
    </xf>
    <xf numFmtId="166" fontId="6" fillId="3" borderId="18" xfId="0" applyNumberFormat="1" applyFont="1" applyFill="1" applyBorder="1" applyAlignment="1">
      <alignment horizontal="center"/>
    </xf>
    <xf numFmtId="0" fontId="0" fillId="0" borderId="27" xfId="0" applyBorder="1"/>
    <xf numFmtId="169" fontId="4" fillId="0" borderId="27" xfId="6" applyNumberFormat="1" applyFont="1" applyBorder="1"/>
    <xf numFmtId="0" fontId="18" fillId="4" borderId="25" xfId="0" applyFont="1" applyFill="1" applyBorder="1"/>
    <xf numFmtId="0" fontId="6" fillId="0" borderId="25" xfId="0" applyFont="1" applyBorder="1"/>
    <xf numFmtId="169" fontId="6" fillId="0" borderId="9" xfId="0" applyNumberFormat="1" applyFont="1" applyBorder="1"/>
    <xf numFmtId="0" fontId="6" fillId="3" borderId="43" xfId="1" applyFont="1" applyFill="1" applyBorder="1" applyAlignment="1">
      <alignment horizontal="center"/>
    </xf>
    <xf numFmtId="165" fontId="4" fillId="0" borderId="59" xfId="3" applyNumberFormat="1" applyFont="1" applyBorder="1" applyAlignment="1">
      <alignment horizontal="center"/>
    </xf>
    <xf numFmtId="165" fontId="4" fillId="0" borderId="55" xfId="3" applyNumberFormat="1" applyFont="1" applyBorder="1" applyAlignment="1">
      <alignment horizontal="center"/>
    </xf>
    <xf numFmtId="165" fontId="4" fillId="0" borderId="44" xfId="3" applyNumberFormat="1" applyFont="1" applyFill="1" applyBorder="1" applyAlignment="1"/>
    <xf numFmtId="0" fontId="6" fillId="0" borderId="41" xfId="0" applyFont="1" applyBorder="1" applyAlignment="1">
      <alignment horizontal="left" indent="1"/>
    </xf>
    <xf numFmtId="175" fontId="6" fillId="0" borderId="24" xfId="3" applyNumberFormat="1" applyFont="1" applyBorder="1" applyAlignment="1">
      <alignment horizontal="right"/>
    </xf>
    <xf numFmtId="43" fontId="6" fillId="0" borderId="8" xfId="3" applyNumberFormat="1" applyFont="1" applyFill="1" applyBorder="1" applyAlignment="1">
      <alignment horizontal="center"/>
    </xf>
    <xf numFmtId="3" fontId="6" fillId="0" borderId="43" xfId="1" applyNumberFormat="1" applyFont="1" applyFill="1" applyBorder="1"/>
    <xf numFmtId="0" fontId="6" fillId="3" borderId="29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9" fontId="4" fillId="2" borderId="14" xfId="1" applyNumberFormat="1" applyFont="1" applyFill="1" applyBorder="1" applyAlignment="1">
      <alignment horizontal="center"/>
    </xf>
    <xf numFmtId="9" fontId="4" fillId="2" borderId="15" xfId="1" applyNumberFormat="1" applyFont="1" applyFill="1" applyBorder="1" applyAlignment="1">
      <alignment horizontal="center"/>
    </xf>
    <xf numFmtId="9" fontId="4" fillId="2" borderId="40" xfId="1" applyNumberFormat="1" applyFont="1" applyFill="1" applyBorder="1" applyAlignment="1">
      <alignment horizontal="center"/>
    </xf>
    <xf numFmtId="43" fontId="4" fillId="6" borderId="57" xfId="3" applyNumberFormat="1" applyFont="1" applyFill="1" applyBorder="1" applyAlignment="1"/>
    <xf numFmtId="0" fontId="6" fillId="0" borderId="41" xfId="0" applyFont="1" applyBorder="1"/>
    <xf numFmtId="165" fontId="6" fillId="0" borderId="25" xfId="3" applyNumberFormat="1" applyFont="1" applyFill="1" applyBorder="1" applyAlignment="1">
      <alignment horizontal="right"/>
    </xf>
    <xf numFmtId="165" fontId="6" fillId="0" borderId="25" xfId="3" applyNumberFormat="1" applyFont="1" applyFill="1" applyBorder="1" applyAlignment="1"/>
    <xf numFmtId="9" fontId="6" fillId="0" borderId="25" xfId="10" applyFont="1" applyFill="1" applyBorder="1" applyAlignment="1">
      <alignment horizontal="center"/>
    </xf>
    <xf numFmtId="165" fontId="6" fillId="0" borderId="43" xfId="3" applyNumberFormat="1" applyFont="1" applyFill="1" applyBorder="1"/>
    <xf numFmtId="4" fontId="4" fillId="0" borderId="65" xfId="0" applyNumberFormat="1" applyFont="1" applyBorder="1" applyAlignment="1">
      <alignment wrapText="1"/>
    </xf>
    <xf numFmtId="169" fontId="6" fillId="0" borderId="24" xfId="1" applyNumberFormat="1" applyFont="1" applyBorder="1" applyAlignment="1">
      <alignment horizontal="center"/>
    </xf>
    <xf numFmtId="169" fontId="6" fillId="10" borderId="30" xfId="6" applyNumberFormat="1" applyFont="1" applyFill="1" applyBorder="1"/>
    <xf numFmtId="44" fontId="4" fillId="0" borderId="21" xfId="6" applyFont="1" applyFill="1" applyBorder="1"/>
    <xf numFmtId="0" fontId="21" fillId="0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38" fontId="23" fillId="0" borderId="6" xfId="0" applyNumberFormat="1" applyFont="1" applyBorder="1"/>
    <xf numFmtId="0" fontId="23" fillId="0" borderId="47" xfId="0" applyFont="1" applyBorder="1" applyAlignment="1">
      <alignment horizontal="center"/>
    </xf>
    <xf numFmtId="0" fontId="23" fillId="0" borderId="3" xfId="0" applyFont="1" applyBorder="1"/>
    <xf numFmtId="0" fontId="23" fillId="0" borderId="63" xfId="0" applyFont="1" applyBorder="1" applyAlignment="1">
      <alignment horizontal="center"/>
    </xf>
    <xf numFmtId="176" fontId="15" fillId="11" borderId="1" xfId="0" applyNumberFormat="1" applyFont="1" applyFill="1" applyBorder="1" applyAlignment="1">
      <alignment horizontal="right"/>
    </xf>
    <xf numFmtId="0" fontId="6" fillId="12" borderId="47" xfId="1" applyFont="1" applyFill="1" applyBorder="1" applyAlignment="1">
      <alignment horizontal="center"/>
    </xf>
    <xf numFmtId="0" fontId="21" fillId="0" borderId="12" xfId="0" applyFont="1" applyFill="1" applyBorder="1" applyAlignment="1">
      <alignment vertical="center"/>
    </xf>
    <xf numFmtId="43" fontId="4" fillId="6" borderId="13" xfId="3" applyNumberFormat="1" applyFont="1" applyFill="1" applyBorder="1" applyAlignment="1">
      <alignment horizontal="right"/>
    </xf>
    <xf numFmtId="43" fontId="4" fillId="6" borderId="20" xfId="3" applyNumberFormat="1" applyFont="1" applyFill="1" applyBorder="1" applyAlignment="1">
      <alignment horizontal="right"/>
    </xf>
    <xf numFmtId="0" fontId="17" fillId="9" borderId="29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/>
    </xf>
    <xf numFmtId="0" fontId="17" fillId="9" borderId="50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/>
    </xf>
    <xf numFmtId="37" fontId="4" fillId="0" borderId="6" xfId="6" applyNumberFormat="1" applyFont="1" applyBorder="1" applyAlignment="1">
      <alignment horizontal="center"/>
    </xf>
    <xf numFmtId="37" fontId="4" fillId="0" borderId="42" xfId="6" applyNumberFormat="1" applyFont="1" applyBorder="1" applyAlignment="1">
      <alignment horizontal="center"/>
    </xf>
    <xf numFmtId="37" fontId="4" fillId="0" borderId="35" xfId="6" applyNumberFormat="1" applyFont="1" applyBorder="1" applyAlignment="1">
      <alignment horizontal="center"/>
    </xf>
    <xf numFmtId="37" fontId="4" fillId="0" borderId="44" xfId="6" applyNumberFormat="1" applyFont="1" applyBorder="1" applyAlignment="1">
      <alignment horizontal="center"/>
    </xf>
    <xf numFmtId="43" fontId="4" fillId="6" borderId="37" xfId="3" applyNumberFormat="1" applyFont="1" applyFill="1" applyBorder="1" applyAlignment="1">
      <alignment horizontal="right"/>
    </xf>
    <xf numFmtId="43" fontId="4" fillId="6" borderId="53" xfId="3" applyNumberFormat="1" applyFont="1" applyFill="1" applyBorder="1" applyAlignment="1">
      <alignment horizontal="right"/>
    </xf>
    <xf numFmtId="164" fontId="6" fillId="3" borderId="38" xfId="1" applyNumberFormat="1" applyFont="1" applyFill="1" applyBorder="1" applyAlignment="1">
      <alignment horizontal="center"/>
    </xf>
    <xf numFmtId="164" fontId="6" fillId="3" borderId="51" xfId="1" applyNumberFormat="1" applyFont="1" applyFill="1" applyBorder="1" applyAlignment="1">
      <alignment horizontal="center"/>
    </xf>
    <xf numFmtId="0" fontId="6" fillId="3" borderId="49" xfId="1" applyFont="1" applyFill="1" applyBorder="1" applyAlignment="1">
      <alignment horizontal="center"/>
    </xf>
    <xf numFmtId="0" fontId="6" fillId="3" borderId="51" xfId="1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7" xfId="1" applyFont="1" applyFill="1" applyBorder="1" applyAlignment="1">
      <alignment horizontal="center" wrapText="1"/>
    </xf>
    <xf numFmtId="0" fontId="6" fillId="3" borderId="22" xfId="1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164" fontId="6" fillId="3" borderId="54" xfId="1" applyNumberFormat="1" applyFont="1" applyFill="1" applyBorder="1" applyAlignment="1">
      <alignment horizontal="center"/>
    </xf>
    <xf numFmtId="37" fontId="4" fillId="0" borderId="4" xfId="6" applyNumberFormat="1" applyFont="1" applyBorder="1" applyAlignment="1">
      <alignment horizontal="center"/>
    </xf>
    <xf numFmtId="37" fontId="4" fillId="0" borderId="55" xfId="6" applyNumberFormat="1" applyFont="1" applyBorder="1" applyAlignment="1">
      <alignment horizontal="center"/>
    </xf>
    <xf numFmtId="0" fontId="6" fillId="3" borderId="3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50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/>
    </xf>
    <xf numFmtId="0" fontId="6" fillId="3" borderId="38" xfId="1" applyFont="1" applyFill="1" applyBorder="1" applyAlignment="1">
      <alignment horizontal="center"/>
    </xf>
    <xf numFmtId="0" fontId="6" fillId="3" borderId="54" xfId="1" applyFont="1" applyFill="1" applyBorder="1" applyAlignment="1">
      <alignment horizontal="center"/>
    </xf>
  </cellXfs>
  <cellStyles count="26">
    <cellStyle name="=C:\WINNT\SYSTEM32\COMMAND.COM" xfId="1"/>
    <cellStyle name="=C:\WINNT\SYSTEM32\COMMAND.COM 2" xfId="2"/>
    <cellStyle name="Capacity" xfId="15"/>
    <cellStyle name="Comma" xfId="3" builtinId="3"/>
    <cellStyle name="Comma 2" xfId="4"/>
    <cellStyle name="Comma 3" xfId="5"/>
    <cellStyle name="County" xfId="23"/>
    <cellStyle name="Currency" xfId="6" builtinId="4"/>
    <cellStyle name="Currency 2" xfId="7"/>
    <cellStyle name="Date" xfId="14"/>
    <cellStyle name="DRN" xfId="25"/>
    <cellStyle name="FlowDirection" xfId="24"/>
    <cellStyle name="Hyperlink" xfId="8" builtinId="8"/>
    <cellStyle name="LocationType" xfId="19"/>
    <cellStyle name="Normal" xfId="0" builtinId="0"/>
    <cellStyle name="Normal 2" xfId="9"/>
    <cellStyle name="Normal 3" xfId="13"/>
    <cellStyle name="Percent" xfId="10" builtinId="5"/>
    <cellStyle name="Percent 2" xfId="11"/>
    <cellStyle name="Percent 3" xfId="12"/>
    <cellStyle name="Pipeline" xfId="20"/>
    <cellStyle name="PointName" xfId="18"/>
    <cellStyle name="Region" xfId="21"/>
    <cellStyle name="State" xfId="22"/>
    <cellStyle name="Utilization" xfId="16"/>
    <cellStyle name="Volume" xfId="17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rbnenerg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1402080</xdr:colOff>
      <xdr:row>2</xdr:row>
      <xdr:rowOff>114300</xdr:rowOff>
    </xdr:from>
    <xdr:to>
      <xdr:col>7</xdr:col>
      <xdr:colOff>1496746</xdr:colOff>
      <xdr:row>7</xdr:row>
      <xdr:rowOff>182880</xdr:rowOff>
    </xdr:to>
    <xdr:pic>
      <xdr:nvPicPr>
        <xdr:cNvPr id="1039" name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820" y="289560"/>
          <a:ext cx="153924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248529</xdr:colOff>
      <xdr:row>44</xdr:row>
      <xdr:rowOff>141263</xdr:rowOff>
    </xdr:from>
    <xdr:to>
      <xdr:col>9</xdr:col>
      <xdr:colOff>1316961</xdr:colOff>
      <xdr:row>49</xdr:row>
      <xdr:rowOff>87924</xdr:rowOff>
    </xdr:to>
    <xdr:pic>
      <xdr:nvPicPr>
        <xdr:cNvPr id="1040" name="Picture 2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9021" y="10363786"/>
          <a:ext cx="1068432" cy="106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bnenergy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006"/>
  <sheetViews>
    <sheetView tabSelected="1" zoomScale="60" zoomScaleNormal="60" workbookViewId="0">
      <selection activeCell="M16" sqref="M16"/>
    </sheetView>
  </sheetViews>
  <sheetFormatPr defaultColWidth="22.1328125" defaultRowHeight="12.75" x14ac:dyDescent="0.35"/>
  <cols>
    <col min="1" max="1" width="26.53125" style="107" bestFit="1" customWidth="1"/>
    <col min="2" max="2" width="13.796875" style="107" bestFit="1" customWidth="1"/>
    <col min="3" max="3" width="13.46484375" style="107" bestFit="1" customWidth="1"/>
    <col min="4" max="4" width="13.796875" style="107" bestFit="1" customWidth="1"/>
    <col min="5" max="5" width="32" style="107" bestFit="1" customWidth="1"/>
    <col min="6" max="6" width="15" style="109" bestFit="1" customWidth="1"/>
    <col min="7" max="7" width="21.46484375" style="109" bestFit="1" customWidth="1"/>
    <col min="8" max="8" width="33.53125" style="109" bestFit="1" customWidth="1"/>
    <col min="9" max="9" width="13.1328125" style="107" bestFit="1" customWidth="1"/>
    <col min="10" max="10" width="20.19921875" style="107" customWidth="1"/>
    <col min="11" max="11" width="3.1328125" style="107" customWidth="1"/>
    <col min="12" max="38" width="22.1328125" style="107"/>
    <col min="39" max="39" width="36.19921875" style="107" bestFit="1" customWidth="1"/>
    <col min="40" max="16384" width="22.1328125" style="107"/>
  </cols>
  <sheetData>
    <row r="1" spans="1:12" ht="18.75" customHeight="1" x14ac:dyDescent="0.35">
      <c r="A1" s="263" t="s">
        <v>51</v>
      </c>
      <c r="B1" s="264"/>
      <c r="C1" s="264"/>
      <c r="D1" s="264"/>
      <c r="E1" s="264"/>
      <c r="F1" s="264"/>
      <c r="G1" s="264"/>
      <c r="H1" s="264"/>
      <c r="I1" s="264"/>
      <c r="J1" s="264"/>
      <c r="K1" s="265"/>
    </row>
    <row r="2" spans="1:12" ht="13.15" thickBot="1" x14ac:dyDescent="0.4">
      <c r="A2" s="266"/>
      <c r="B2" s="267"/>
      <c r="C2" s="267"/>
      <c r="D2" s="267"/>
      <c r="E2" s="267"/>
      <c r="F2" s="267"/>
      <c r="G2" s="267"/>
      <c r="H2" s="267"/>
      <c r="I2" s="267"/>
      <c r="J2" s="267"/>
      <c r="K2" s="268"/>
    </row>
    <row r="3" spans="1:12" ht="21" customHeight="1" x14ac:dyDescent="0.35">
      <c r="A3" s="279" t="s">
        <v>49</v>
      </c>
      <c r="B3" s="280"/>
      <c r="C3" s="280"/>
      <c r="D3" s="280"/>
      <c r="E3" s="280"/>
      <c r="F3" s="281"/>
      <c r="G3" s="83"/>
      <c r="H3" s="84"/>
      <c r="I3" s="85"/>
      <c r="J3" s="70"/>
      <c r="K3" s="91"/>
    </row>
    <row r="4" spans="1:12" s="110" customFormat="1" ht="17.25" x14ac:dyDescent="0.45">
      <c r="A4" s="292"/>
      <c r="B4" s="293"/>
      <c r="C4" s="293"/>
      <c r="D4" s="293"/>
      <c r="E4" s="293"/>
      <c r="F4" s="294"/>
      <c r="G4" s="86"/>
      <c r="H4" s="87"/>
      <c r="I4" s="88"/>
      <c r="J4" s="87"/>
      <c r="K4" s="88"/>
    </row>
    <row r="5" spans="1:12" ht="41.1" customHeight="1" x14ac:dyDescent="0.55000000000000004">
      <c r="A5" s="128" t="s">
        <v>14</v>
      </c>
      <c r="B5" s="135">
        <v>379.48200000000003</v>
      </c>
      <c r="C5" s="285" t="s">
        <v>78</v>
      </c>
      <c r="D5" s="130" t="s">
        <v>82</v>
      </c>
      <c r="E5" s="287" t="s">
        <v>87</v>
      </c>
      <c r="F5" s="131" t="s">
        <v>2</v>
      </c>
      <c r="G5" s="89"/>
      <c r="H5" s="90"/>
      <c r="I5" s="91"/>
      <c r="J5" s="70"/>
      <c r="K5" s="91"/>
    </row>
    <row r="6" spans="1:12" ht="18" thickBot="1" x14ac:dyDescent="0.55000000000000004">
      <c r="A6" s="129"/>
      <c r="B6" s="168" t="s">
        <v>92</v>
      </c>
      <c r="C6" s="286"/>
      <c r="D6" s="19" t="s">
        <v>77</v>
      </c>
      <c r="E6" s="288"/>
      <c r="F6" s="132" t="s">
        <v>93</v>
      </c>
      <c r="G6" s="92"/>
      <c r="H6" s="93"/>
      <c r="I6" s="91"/>
      <c r="J6" s="70"/>
      <c r="K6" s="91"/>
    </row>
    <row r="7" spans="1:12" ht="17.25" x14ac:dyDescent="0.45">
      <c r="A7" s="8" t="s">
        <v>10</v>
      </c>
      <c r="B7" s="127"/>
      <c r="C7" s="135">
        <v>6.4169999999999998</v>
      </c>
      <c r="D7" s="5">
        <f t="shared" ref="D7:D12" si="0">$B$5/C7</f>
        <v>59.136979897148208</v>
      </c>
      <c r="E7" s="1">
        <f t="shared" ref="E7:E12" si="1">(C7/$B$5)*1000</f>
        <v>16.90989295934985</v>
      </c>
      <c r="F7" s="126">
        <v>1010</v>
      </c>
      <c r="G7" s="86"/>
      <c r="H7" s="94"/>
      <c r="I7" s="95"/>
      <c r="J7" s="116"/>
      <c r="K7" s="143"/>
    </row>
    <row r="8" spans="1:12" ht="17.25" x14ac:dyDescent="0.45">
      <c r="A8" s="8" t="s">
        <v>5</v>
      </c>
      <c r="B8" s="127">
        <v>65897</v>
      </c>
      <c r="C8" s="135">
        <v>10.122999999999999</v>
      </c>
      <c r="D8" s="1">
        <f t="shared" si="0"/>
        <v>37.487108564654754</v>
      </c>
      <c r="E8" s="1">
        <f t="shared" si="1"/>
        <v>26.675837062100438</v>
      </c>
      <c r="F8" s="138">
        <f>B8/D8</f>
        <v>1757.8576348812326</v>
      </c>
      <c r="G8" s="86"/>
      <c r="H8" s="96"/>
      <c r="I8" s="91"/>
      <c r="J8" s="70"/>
      <c r="K8" s="91"/>
      <c r="L8" s="111"/>
    </row>
    <row r="9" spans="1:12" ht="17.25" x14ac:dyDescent="0.45">
      <c r="A9" s="8" t="s">
        <v>6</v>
      </c>
      <c r="B9" s="127">
        <v>90875</v>
      </c>
      <c r="C9" s="136">
        <v>10.428000000000001</v>
      </c>
      <c r="D9" s="1">
        <f t="shared" si="0"/>
        <v>36.390678941311855</v>
      </c>
      <c r="E9" s="1">
        <f t="shared" si="1"/>
        <v>27.47956424810663</v>
      </c>
      <c r="F9" s="139">
        <f>B9/D9</f>
        <v>2497.20540104669</v>
      </c>
      <c r="G9" s="89"/>
      <c r="H9" s="100" t="s">
        <v>38</v>
      </c>
      <c r="I9" s="91"/>
      <c r="J9" s="117"/>
      <c r="K9" s="91"/>
      <c r="L9" s="111"/>
    </row>
    <row r="10" spans="1:12" ht="17.25" x14ac:dyDescent="0.45">
      <c r="A10" s="8" t="s">
        <v>8</v>
      </c>
      <c r="B10" s="126">
        <v>102950</v>
      </c>
      <c r="C10" s="136">
        <v>11.933</v>
      </c>
      <c r="D10" s="1">
        <f t="shared" si="0"/>
        <v>31.801055895416077</v>
      </c>
      <c r="E10" s="1">
        <f t="shared" si="1"/>
        <v>31.445496756104369</v>
      </c>
      <c r="F10" s="139">
        <f>B10/D10</f>
        <v>3237.3138910409448</v>
      </c>
      <c r="G10" s="86"/>
      <c r="H10" s="118">
        <v>43144</v>
      </c>
      <c r="I10" s="91"/>
      <c r="J10" s="70"/>
      <c r="K10" s="91"/>
      <c r="L10" s="111"/>
    </row>
    <row r="11" spans="1:12" ht="17.25" x14ac:dyDescent="0.45">
      <c r="A11" s="8" t="s">
        <v>7</v>
      </c>
      <c r="B11" s="127">
        <v>98924</v>
      </c>
      <c r="C11" s="136">
        <v>12.385999999999999</v>
      </c>
      <c r="D11" s="1">
        <f t="shared" si="0"/>
        <v>30.637978362667532</v>
      </c>
      <c r="E11" s="1">
        <f t="shared" si="1"/>
        <v>32.639229265156182</v>
      </c>
      <c r="F11" s="139">
        <f>B11/D11</f>
        <v>3228.8031158263102</v>
      </c>
      <c r="G11" s="86"/>
      <c r="H11" s="119" t="s">
        <v>39</v>
      </c>
      <c r="I11" s="91"/>
      <c r="J11" s="69"/>
      <c r="K11" s="144"/>
      <c r="L11" s="111"/>
    </row>
    <row r="12" spans="1:12" ht="17.649999999999999" thickBot="1" x14ac:dyDescent="0.5">
      <c r="A12" s="9" t="s">
        <v>9</v>
      </c>
      <c r="B12" s="134">
        <v>110020</v>
      </c>
      <c r="C12" s="137">
        <v>13.721</v>
      </c>
      <c r="D12" s="4">
        <f t="shared" si="0"/>
        <v>27.657022082938564</v>
      </c>
      <c r="E12" s="4">
        <f t="shared" si="1"/>
        <v>36.157182685871796</v>
      </c>
      <c r="F12" s="140">
        <f>B12/D12</f>
        <v>3978.0132390996146</v>
      </c>
      <c r="G12" s="97"/>
      <c r="H12" s="98"/>
      <c r="I12" s="99"/>
      <c r="J12" s="70"/>
      <c r="K12" s="91"/>
      <c r="L12" s="111"/>
    </row>
    <row r="13" spans="1:12" ht="17.649999999999999" thickBot="1" x14ac:dyDescent="0.5">
      <c r="A13" s="145"/>
      <c r="B13" s="68"/>
      <c r="C13" s="71"/>
      <c r="D13" s="72"/>
      <c r="E13" s="72"/>
      <c r="F13" s="68"/>
      <c r="G13" s="68"/>
      <c r="H13" s="120"/>
      <c r="I13" s="70"/>
      <c r="J13" s="69"/>
      <c r="K13" s="144"/>
      <c r="L13" s="111"/>
    </row>
    <row r="14" spans="1:12" ht="17.649999999999999" x14ac:dyDescent="0.5">
      <c r="A14" s="295" t="s">
        <v>50</v>
      </c>
      <c r="B14" s="296"/>
      <c r="C14" s="296"/>
      <c r="D14" s="296"/>
      <c r="E14" s="296"/>
      <c r="F14" s="296"/>
      <c r="G14" s="296"/>
      <c r="H14" s="296"/>
      <c r="I14" s="297"/>
      <c r="J14" s="59"/>
      <c r="K14" s="146"/>
    </row>
    <row r="15" spans="1:12" ht="17.649999999999999" thickBot="1" x14ac:dyDescent="0.5">
      <c r="A15" s="298"/>
      <c r="B15" s="299"/>
      <c r="C15" s="299"/>
      <c r="D15" s="299"/>
      <c r="E15" s="299"/>
      <c r="F15" s="299"/>
      <c r="G15" s="299"/>
      <c r="H15" s="299"/>
      <c r="I15" s="300"/>
      <c r="J15" s="70"/>
      <c r="K15" s="147"/>
    </row>
    <row r="16" spans="1:12" ht="18" thickBot="1" x14ac:dyDescent="0.55000000000000004">
      <c r="A16" s="203" t="s">
        <v>98</v>
      </c>
      <c r="B16" s="204">
        <v>200</v>
      </c>
      <c r="C16" s="301" t="s">
        <v>0</v>
      </c>
      <c r="D16" s="302"/>
      <c r="E16" s="236" t="s">
        <v>75</v>
      </c>
      <c r="F16" s="12" t="s">
        <v>4</v>
      </c>
      <c r="G16" s="13" t="s">
        <v>4</v>
      </c>
      <c r="H16" s="14" t="s">
        <v>11</v>
      </c>
      <c r="I16" s="15" t="s">
        <v>3</v>
      </c>
      <c r="J16" s="70"/>
      <c r="K16" s="148"/>
    </row>
    <row r="17" spans="1:11" ht="18" thickBot="1" x14ac:dyDescent="0.55000000000000004">
      <c r="A17" s="188" t="s">
        <v>12</v>
      </c>
      <c r="B17" s="259" t="s">
        <v>108</v>
      </c>
      <c r="C17" s="16" t="s">
        <v>1</v>
      </c>
      <c r="D17" s="228" t="s">
        <v>101</v>
      </c>
      <c r="E17" s="237" t="s">
        <v>76</v>
      </c>
      <c r="F17" s="17" t="s">
        <v>101</v>
      </c>
      <c r="G17" s="18" t="s">
        <v>100</v>
      </c>
      <c r="H17" s="19" t="s">
        <v>4</v>
      </c>
      <c r="I17" s="20" t="s">
        <v>94</v>
      </c>
      <c r="J17" s="70"/>
      <c r="K17" s="148"/>
    </row>
    <row r="18" spans="1:11" ht="17.25" x14ac:dyDescent="0.45">
      <c r="A18" s="8" t="s">
        <v>10</v>
      </c>
      <c r="B18" s="258">
        <f>HLOOKUP($B$17,'Gas Samples'!$3:$10,2,FALSE)</f>
        <v>82.6</v>
      </c>
      <c r="C18" s="21">
        <f t="shared" ref="C18:C23" si="2">E7*B18/100</f>
        <v>13.967571584422977</v>
      </c>
      <c r="D18" s="229">
        <f t="shared" ref="D18:D23" si="3">(C18*$B$16)*1000</f>
        <v>2793514.3168845954</v>
      </c>
      <c r="E18" s="238">
        <v>0</v>
      </c>
      <c r="F18" s="10">
        <f t="shared" ref="F18:F23" si="4">E18*D18</f>
        <v>0</v>
      </c>
      <c r="G18" s="11">
        <f t="shared" ref="G18:G23" si="5">F18/42</f>
        <v>0</v>
      </c>
      <c r="H18" s="26"/>
      <c r="I18" s="22">
        <f t="shared" ref="I18:I23" si="6">(F7*B18)/100</f>
        <v>834.26</v>
      </c>
      <c r="J18" s="70"/>
      <c r="K18" s="149"/>
    </row>
    <row r="19" spans="1:11" ht="17.25" x14ac:dyDescent="0.45">
      <c r="A19" s="8" t="s">
        <v>5</v>
      </c>
      <c r="B19" s="258">
        <f>HLOOKUP($B$17,'Gas Samples'!$3:$10,3,FALSE)</f>
        <v>9.15</v>
      </c>
      <c r="C19" s="21">
        <f t="shared" si="2"/>
        <v>2.4408390911821902</v>
      </c>
      <c r="D19" s="229">
        <f t="shared" si="3"/>
        <v>488167.81823643803</v>
      </c>
      <c r="E19" s="239">
        <v>0.9</v>
      </c>
      <c r="F19" s="7">
        <f t="shared" si="4"/>
        <v>439351.03641279426</v>
      </c>
      <c r="G19" s="162">
        <f t="shared" si="5"/>
        <v>10460.738962209387</v>
      </c>
      <c r="H19" s="2">
        <f>G19/$G$25</f>
        <v>0.49802812736284979</v>
      </c>
      <c r="I19" s="23">
        <f t="shared" si="6"/>
        <v>160.84397359163279</v>
      </c>
      <c r="J19" s="70"/>
      <c r="K19" s="149"/>
    </row>
    <row r="20" spans="1:11" ht="17.25" x14ac:dyDescent="0.45">
      <c r="A20" s="8" t="s">
        <v>6</v>
      </c>
      <c r="B20" s="258">
        <f>HLOOKUP($B$17,'Gas Samples'!$3:$10,4,FALSE)</f>
        <v>3.05</v>
      </c>
      <c r="C20" s="21">
        <f t="shared" si="2"/>
        <v>0.8381267095672521</v>
      </c>
      <c r="D20" s="229">
        <f t="shared" si="3"/>
        <v>167625.34191345042</v>
      </c>
      <c r="E20" s="239">
        <v>0.99</v>
      </c>
      <c r="F20" s="7">
        <f t="shared" si="4"/>
        <v>165949.08849431592</v>
      </c>
      <c r="G20" s="163">
        <f t="shared" si="5"/>
        <v>3951.1687736741887</v>
      </c>
      <c r="H20" s="2">
        <f>G20/$G$25</f>
        <v>0.18811225405359996</v>
      </c>
      <c r="I20" s="23">
        <f t="shared" si="6"/>
        <v>76.164764731924038</v>
      </c>
      <c r="J20" s="70"/>
      <c r="K20" s="149"/>
    </row>
    <row r="21" spans="1:11" ht="17.25" x14ac:dyDescent="0.45">
      <c r="A21" s="8" t="s">
        <v>8</v>
      </c>
      <c r="B21" s="258">
        <f>HLOOKUP($B$17,'Gas Samples'!$3:$10,5,FALSE)</f>
        <v>1</v>
      </c>
      <c r="C21" s="21">
        <f t="shared" si="2"/>
        <v>0.31445496756104369</v>
      </c>
      <c r="D21" s="229">
        <f t="shared" si="3"/>
        <v>62890.993512208741</v>
      </c>
      <c r="E21" s="239">
        <v>0.99</v>
      </c>
      <c r="F21" s="7">
        <f t="shared" si="4"/>
        <v>62262.083577086654</v>
      </c>
      <c r="G21" s="163">
        <f>F21/42</f>
        <v>1482.430561359206</v>
      </c>
      <c r="H21" s="2">
        <f>G21/$G$25</f>
        <v>7.0577434260270522E-2</v>
      </c>
      <c r="I21" s="23">
        <f t="shared" si="6"/>
        <v>32.373138910409445</v>
      </c>
      <c r="J21" s="70"/>
      <c r="K21" s="149"/>
    </row>
    <row r="22" spans="1:11" ht="17.25" x14ac:dyDescent="0.45">
      <c r="A22" s="8" t="s">
        <v>7</v>
      </c>
      <c r="B22" s="258">
        <f>HLOOKUP($B$17,'Gas Samples'!$3:$10,6,FALSE)</f>
        <v>1.05</v>
      </c>
      <c r="C22" s="21">
        <f t="shared" si="2"/>
        <v>0.34271190728413992</v>
      </c>
      <c r="D22" s="229">
        <f t="shared" si="3"/>
        <v>68542.381456827978</v>
      </c>
      <c r="E22" s="239">
        <v>0.99</v>
      </c>
      <c r="F22" s="7">
        <f t="shared" si="4"/>
        <v>67856.957642259702</v>
      </c>
      <c r="G22" s="163">
        <f>F22/42</f>
        <v>1615.641848625231</v>
      </c>
      <c r="H22" s="2">
        <f>G22/$G$25</f>
        <v>7.6919526169873145E-2</v>
      </c>
      <c r="I22" s="23">
        <f t="shared" si="6"/>
        <v>33.902432716176257</v>
      </c>
      <c r="J22" s="70"/>
      <c r="K22" s="149"/>
    </row>
    <row r="23" spans="1:11" ht="17.25" x14ac:dyDescent="0.45">
      <c r="A23" s="8" t="s">
        <v>15</v>
      </c>
      <c r="B23" s="258">
        <f>HLOOKUP($B$17,'Gas Samples'!$3:$10,7,FALSE)</f>
        <v>2.0499999999999998</v>
      </c>
      <c r="C23" s="180">
        <f t="shared" si="2"/>
        <v>0.74122224506037171</v>
      </c>
      <c r="D23" s="230">
        <f t="shared" si="3"/>
        <v>148244.44901207433</v>
      </c>
      <c r="E23" s="240">
        <v>0.99</v>
      </c>
      <c r="F23" s="6">
        <f t="shared" si="4"/>
        <v>146762.00452195358</v>
      </c>
      <c r="G23" s="164">
        <f t="shared" si="5"/>
        <v>3494.3334409988947</v>
      </c>
      <c r="H23" s="3">
        <f>G23/$G$25</f>
        <v>0.1663626581534067</v>
      </c>
      <c r="I23" s="24">
        <f t="shared" si="6"/>
        <v>81.549271401542086</v>
      </c>
      <c r="J23" s="70"/>
      <c r="K23" s="149"/>
    </row>
    <row r="24" spans="1:11" ht="17.25" x14ac:dyDescent="0.45">
      <c r="A24" s="181" t="s">
        <v>13</v>
      </c>
      <c r="B24" s="258">
        <f>HLOOKUP($B$17,'Gas Samples'!$3:$10,8,FALSE)</f>
        <v>1.1000000000000001</v>
      </c>
      <c r="C24" s="214"/>
      <c r="D24" s="215"/>
      <c r="E24" s="241"/>
      <c r="F24" s="213"/>
      <c r="G24" s="213"/>
      <c r="H24" s="213"/>
      <c r="I24" s="215"/>
      <c r="J24" s="70"/>
      <c r="K24" s="149"/>
    </row>
    <row r="25" spans="1:11" ht="18" thickBot="1" x14ac:dyDescent="0.55000000000000004">
      <c r="A25" s="232" t="s">
        <v>29</v>
      </c>
      <c r="B25" s="233">
        <f>SUM(B18:B24)</f>
        <v>99.999999999999986</v>
      </c>
      <c r="C25" s="234">
        <f>SUM(C18:C23)</f>
        <v>18.644926505077976</v>
      </c>
      <c r="D25" s="235">
        <f>SUM(D18:D23)</f>
        <v>3728985.3010155945</v>
      </c>
      <c r="E25" s="242"/>
      <c r="F25" s="243">
        <f>SUM(F19:F23)</f>
        <v>882181.17064840999</v>
      </c>
      <c r="G25" s="244">
        <f>SUM(G19:G23)</f>
        <v>21004.313586866905</v>
      </c>
      <c r="H25" s="245">
        <f>SUM(H19:H23)</f>
        <v>1.0000000000000002</v>
      </c>
      <c r="I25" s="246">
        <f>SUM(I18:I23)</f>
        <v>1219.0935813516844</v>
      </c>
      <c r="J25" s="70"/>
      <c r="K25" s="150"/>
    </row>
    <row r="26" spans="1:11" ht="17.649999999999999" thickBot="1" x14ac:dyDescent="0.5">
      <c r="A26" s="261" t="s">
        <v>104</v>
      </c>
      <c r="B26" s="262"/>
      <c r="C26" s="216">
        <f>SUM(C19:C24)</f>
        <v>4.6773549206549978</v>
      </c>
      <c r="D26" s="231">
        <f>C26/42*1000</f>
        <v>111.36559334892853</v>
      </c>
      <c r="E26" s="183" t="s">
        <v>105</v>
      </c>
      <c r="F26" s="184">
        <f>F25/($B$16*1000)</f>
        <v>4.41090585324205</v>
      </c>
      <c r="G26" s="182">
        <f>F26/42*1000</f>
        <v>105.02156793433453</v>
      </c>
      <c r="H26" s="185"/>
      <c r="I26" s="186"/>
      <c r="J26" s="70"/>
      <c r="K26" s="151"/>
    </row>
    <row r="27" spans="1:11" ht="19.5" customHeight="1" thickBot="1" x14ac:dyDescent="0.4">
      <c r="A27" s="105"/>
      <c r="B27" s="70"/>
      <c r="C27" s="70"/>
      <c r="D27" s="70"/>
      <c r="E27" s="70"/>
      <c r="F27" s="93"/>
      <c r="G27" s="93"/>
      <c r="H27" s="93"/>
      <c r="I27" s="70"/>
      <c r="J27" s="70"/>
      <c r="K27" s="91"/>
    </row>
    <row r="28" spans="1:11" ht="17.45" customHeight="1" x14ac:dyDescent="0.35">
      <c r="A28" s="279" t="s">
        <v>52</v>
      </c>
      <c r="B28" s="280"/>
      <c r="C28" s="280"/>
      <c r="D28" s="280"/>
      <c r="E28" s="280"/>
      <c r="F28" s="280"/>
      <c r="G28" s="280"/>
      <c r="H28" s="280"/>
      <c r="I28" s="280"/>
      <c r="J28" s="281"/>
      <c r="K28" s="91"/>
    </row>
    <row r="29" spans="1:11" ht="17.45" customHeight="1" thickBot="1" x14ac:dyDescent="0.4">
      <c r="A29" s="282"/>
      <c r="B29" s="283"/>
      <c r="C29" s="283"/>
      <c r="D29" s="283"/>
      <c r="E29" s="283"/>
      <c r="F29" s="283"/>
      <c r="G29" s="283"/>
      <c r="H29" s="283"/>
      <c r="I29" s="283"/>
      <c r="J29" s="284"/>
      <c r="K29" s="91"/>
    </row>
    <row r="30" spans="1:11" ht="17.45" customHeight="1" thickBot="1" x14ac:dyDescent="0.55000000000000004">
      <c r="A30" s="141"/>
      <c r="B30" s="43" t="s">
        <v>16</v>
      </c>
      <c r="C30" s="42" t="s">
        <v>17</v>
      </c>
      <c r="D30" s="42" t="s">
        <v>111</v>
      </c>
      <c r="E30" s="46" t="s">
        <v>16</v>
      </c>
      <c r="F30" s="46" t="s">
        <v>17</v>
      </c>
      <c r="G30" s="60" t="s">
        <v>95</v>
      </c>
      <c r="H30" s="141"/>
      <c r="I30" s="275" t="s">
        <v>22</v>
      </c>
      <c r="J30" s="289"/>
      <c r="K30" s="91"/>
    </row>
    <row r="31" spans="1:11" ht="17.45" customHeight="1" thickBot="1" x14ac:dyDescent="0.55000000000000004">
      <c r="A31" s="188" t="s">
        <v>12</v>
      </c>
      <c r="B31" s="55" t="s">
        <v>101</v>
      </c>
      <c r="C31" s="56" t="s">
        <v>88</v>
      </c>
      <c r="D31" s="56" t="s">
        <v>25</v>
      </c>
      <c r="E31" s="57" t="s">
        <v>1</v>
      </c>
      <c r="F31" s="57" t="s">
        <v>26</v>
      </c>
      <c r="G31" s="61" t="s">
        <v>102</v>
      </c>
      <c r="H31" s="142"/>
      <c r="I31" s="33" t="s">
        <v>20</v>
      </c>
      <c r="J31" s="49" t="s">
        <v>21</v>
      </c>
      <c r="K31" s="91"/>
    </row>
    <row r="32" spans="1:11" ht="17.45" customHeight="1" x14ac:dyDescent="0.45">
      <c r="A32" s="58" t="s">
        <v>10</v>
      </c>
      <c r="B32" s="53">
        <f t="shared" ref="B32:B37" si="7">D18-F18</f>
        <v>2793514.3168845954</v>
      </c>
      <c r="C32" s="47">
        <f t="shared" ref="C32:C37" si="8">(D7*B32)/1000000</f>
        <v>165.20000000000002</v>
      </c>
      <c r="D32" s="74">
        <f t="shared" ref="D32:D37" si="9">(C32/$C$38)*100</f>
        <v>98.819785491676285</v>
      </c>
      <c r="E32" s="54"/>
      <c r="F32" s="65">
        <f t="shared" ref="F32:F37" si="10">(F7*D32)/100</f>
        <v>998.07983346593039</v>
      </c>
      <c r="G32" s="62"/>
      <c r="H32" s="38" t="s">
        <v>89</v>
      </c>
      <c r="I32" s="29">
        <f>B16*1000</f>
        <v>200000</v>
      </c>
      <c r="J32" s="50">
        <f>C38*1000</f>
        <v>167173.00000000003</v>
      </c>
      <c r="K32" s="91"/>
    </row>
    <row r="33" spans="1:15" ht="17.45" customHeight="1" x14ac:dyDescent="0.45">
      <c r="A33" s="58" t="s">
        <v>5</v>
      </c>
      <c r="B33" s="44">
        <f t="shared" si="7"/>
        <v>48816.781823643774</v>
      </c>
      <c r="C33" s="25">
        <f t="shared" si="8"/>
        <v>1.829999999999999</v>
      </c>
      <c r="D33" s="75">
        <f t="shared" si="9"/>
        <v>1.0946743792358806</v>
      </c>
      <c r="E33" s="77">
        <f>(E8/100)*D33</f>
        <v>0.29201355376552296</v>
      </c>
      <c r="F33" s="66">
        <f t="shared" si="10"/>
        <v>19.242817152486666</v>
      </c>
      <c r="G33" s="63">
        <f>(B8*F19)/1000000</f>
        <v>28951.915246493903</v>
      </c>
      <c r="H33" s="38" t="s">
        <v>90</v>
      </c>
      <c r="I33" s="48">
        <f>I25/1000</f>
        <v>1.2190935813516843</v>
      </c>
      <c r="J33" s="51">
        <f>F38/1000</f>
        <v>1.0200023848788544</v>
      </c>
      <c r="K33" s="91"/>
    </row>
    <row r="34" spans="1:15" ht="17.45" customHeight="1" x14ac:dyDescent="0.45">
      <c r="A34" s="58" t="s">
        <v>6</v>
      </c>
      <c r="B34" s="44">
        <f t="shared" si="7"/>
        <v>1676.2534191345039</v>
      </c>
      <c r="C34" s="25">
        <f t="shared" si="8"/>
        <v>6.0999999999999985E-2</v>
      </c>
      <c r="D34" s="75">
        <f t="shared" si="9"/>
        <v>3.6489145974529368E-2</v>
      </c>
      <c r="E34" s="77">
        <f>(E9/100)*D34</f>
        <v>1.0027058311656211E-2</v>
      </c>
      <c r="F34" s="66">
        <f t="shared" si="10"/>
        <v>0.91120892407175813</v>
      </c>
      <c r="G34" s="63">
        <f>(B9*F20)/1000000</f>
        <v>15080.62341692096</v>
      </c>
      <c r="H34" s="38" t="s">
        <v>84</v>
      </c>
      <c r="I34" s="29">
        <f>I32*I33</f>
        <v>243818.71627033685</v>
      </c>
      <c r="J34" s="50">
        <f>J32*J33</f>
        <v>170516.85868735277</v>
      </c>
      <c r="K34" s="91"/>
    </row>
    <row r="35" spans="1:15" ht="17.45" customHeight="1" x14ac:dyDescent="0.45">
      <c r="A35" s="58" t="s">
        <v>8</v>
      </c>
      <c r="B35" s="44">
        <f t="shared" si="7"/>
        <v>628.90993512208661</v>
      </c>
      <c r="C35" s="25">
        <f t="shared" si="8"/>
        <v>1.9999999999999976E-2</v>
      </c>
      <c r="D35" s="75">
        <f t="shared" si="9"/>
        <v>1.1963654417878469E-2</v>
      </c>
      <c r="E35" s="77">
        <f>(E10/100)*D35</f>
        <v>3.7620305618855108E-3</v>
      </c>
      <c r="F35" s="66">
        <f t="shared" si="10"/>
        <v>0.38730104634611334</v>
      </c>
      <c r="G35" s="63">
        <f>(B10*F21)/1000000</f>
        <v>6409.8815042610713</v>
      </c>
      <c r="H35" s="38"/>
      <c r="I35" s="30"/>
      <c r="J35" s="52"/>
      <c r="K35" s="91"/>
    </row>
    <row r="36" spans="1:15" ht="17.45" customHeight="1" x14ac:dyDescent="0.45">
      <c r="A36" s="58" t="s">
        <v>7</v>
      </c>
      <c r="B36" s="44">
        <f t="shared" si="7"/>
        <v>685.4238145682757</v>
      </c>
      <c r="C36" s="25">
        <f t="shared" si="8"/>
        <v>2.0999999999999873E-2</v>
      </c>
      <c r="D36" s="75">
        <f t="shared" si="9"/>
        <v>1.2561837138772331E-2</v>
      </c>
      <c r="E36" s="77">
        <f>(E11/100)*D36</f>
        <v>4.1000868236394372E-3</v>
      </c>
      <c r="F36" s="66">
        <f t="shared" si="10"/>
        <v>0.40559698894170765</v>
      </c>
      <c r="G36" s="63">
        <f>(B11*F22)/1000000</f>
        <v>6712.6816778028988</v>
      </c>
      <c r="H36" s="38" t="s">
        <v>96</v>
      </c>
      <c r="I36" s="290">
        <f>I34</f>
        <v>243818.71627033685</v>
      </c>
      <c r="J36" s="291"/>
      <c r="K36" s="91"/>
    </row>
    <row r="37" spans="1:15" ht="17.45" customHeight="1" x14ac:dyDescent="0.45">
      <c r="A37" s="58" t="s">
        <v>15</v>
      </c>
      <c r="B37" s="45">
        <f t="shared" si="7"/>
        <v>1482.4444901207462</v>
      </c>
      <c r="C37" s="41">
        <f t="shared" si="8"/>
        <v>4.1000000000000078E-2</v>
      </c>
      <c r="D37" s="76">
        <f t="shared" si="9"/>
        <v>2.4525491556650937E-2</v>
      </c>
      <c r="E37" s="78">
        <f>(E12/100)*D37</f>
        <v>8.8677267867463428E-3</v>
      </c>
      <c r="F37" s="67">
        <f t="shared" si="10"/>
        <v>0.97562730107783235</v>
      </c>
      <c r="G37" s="63">
        <f>(B12*F23)/1000000</f>
        <v>16146.755737505333</v>
      </c>
      <c r="H37" s="38" t="s">
        <v>103</v>
      </c>
      <c r="I37" s="269">
        <f>-G38</f>
        <v>-73301.857582984157</v>
      </c>
      <c r="J37" s="270"/>
      <c r="K37" s="91"/>
    </row>
    <row r="38" spans="1:15" ht="17.45" customHeight="1" thickBot="1" x14ac:dyDescent="0.55000000000000004">
      <c r="A38" s="191" t="s">
        <v>29</v>
      </c>
      <c r="B38" s="197">
        <f>SUM(B32:B37)</f>
        <v>2846804.1303671845</v>
      </c>
      <c r="C38" s="198">
        <f>SUM(C32:C37)</f>
        <v>167.17300000000003</v>
      </c>
      <c r="D38" s="198">
        <f>SUM(D32:D37)</f>
        <v>100</v>
      </c>
      <c r="E38" s="199">
        <f>SUM(E33:E37)</f>
        <v>0.3187704562494505</v>
      </c>
      <c r="F38" s="200">
        <f>SUM(F32:F37)</f>
        <v>1020.0023848788544</v>
      </c>
      <c r="G38" s="201">
        <f>SUM(G33:G37)</f>
        <v>73301.857582984157</v>
      </c>
      <c r="H38" s="202" t="s">
        <v>97</v>
      </c>
      <c r="I38" s="271">
        <f>-J34</f>
        <v>-170516.85868735277</v>
      </c>
      <c r="J38" s="272"/>
      <c r="K38" s="152"/>
    </row>
    <row r="39" spans="1:15" ht="17.45" customHeight="1" thickBot="1" x14ac:dyDescent="0.5">
      <c r="A39" s="261" t="s">
        <v>99</v>
      </c>
      <c r="B39" s="262"/>
      <c r="C39" s="192">
        <f>B16-C38</f>
        <v>32.82699999999997</v>
      </c>
      <c r="D39" s="189"/>
      <c r="E39" s="193" t="s">
        <v>83</v>
      </c>
      <c r="F39" s="190">
        <f>1-J32/I32</f>
        <v>0.16413499999999981</v>
      </c>
      <c r="G39" s="64"/>
      <c r="H39" s="194" t="s">
        <v>27</v>
      </c>
      <c r="I39" s="195">
        <f>I36+I37+I38</f>
        <v>0</v>
      </c>
      <c r="J39" s="196"/>
      <c r="K39" s="153"/>
    </row>
    <row r="40" spans="1:15" ht="17.45" customHeight="1" thickBot="1" x14ac:dyDescent="0.5">
      <c r="A40" s="154"/>
      <c r="B40" s="73"/>
      <c r="C40" s="79"/>
      <c r="D40" s="79"/>
      <c r="E40" s="79"/>
      <c r="F40" s="79"/>
      <c r="G40" s="80"/>
      <c r="H40" s="81"/>
      <c r="I40" s="82"/>
      <c r="J40" s="82"/>
      <c r="K40" s="153"/>
    </row>
    <row r="41" spans="1:15" ht="17.45" customHeight="1" x14ac:dyDescent="0.35">
      <c r="A41" s="279" t="s">
        <v>53</v>
      </c>
      <c r="B41" s="280"/>
      <c r="C41" s="280"/>
      <c r="D41" s="280"/>
      <c r="E41" s="280"/>
      <c r="F41" s="280"/>
      <c r="G41" s="280"/>
      <c r="H41" s="280"/>
      <c r="I41" s="280"/>
      <c r="J41" s="281"/>
      <c r="K41" s="155"/>
    </row>
    <row r="42" spans="1:15" ht="17.45" customHeight="1" thickBot="1" x14ac:dyDescent="0.4">
      <c r="A42" s="282"/>
      <c r="B42" s="283"/>
      <c r="C42" s="283"/>
      <c r="D42" s="283"/>
      <c r="E42" s="283"/>
      <c r="F42" s="283"/>
      <c r="G42" s="283"/>
      <c r="H42" s="283"/>
      <c r="I42" s="283"/>
      <c r="J42" s="284"/>
      <c r="K42" s="91"/>
    </row>
    <row r="43" spans="1:15" ht="17.45" customHeight="1" thickBot="1" x14ac:dyDescent="0.55000000000000004">
      <c r="A43" s="133"/>
      <c r="B43" s="277" t="s">
        <v>19</v>
      </c>
      <c r="C43" s="278"/>
      <c r="D43" s="278"/>
      <c r="E43" s="278"/>
      <c r="F43" s="222" t="s">
        <v>18</v>
      </c>
      <c r="G43" s="141"/>
      <c r="H43" s="275" t="s">
        <v>22</v>
      </c>
      <c r="I43" s="276"/>
      <c r="J43" s="32" t="s">
        <v>40</v>
      </c>
      <c r="K43" s="91"/>
    </row>
    <row r="44" spans="1:15" ht="17.45" customHeight="1" thickBot="1" x14ac:dyDescent="0.55000000000000004">
      <c r="A44" s="188" t="s">
        <v>12</v>
      </c>
      <c r="B44" s="187" t="s">
        <v>85</v>
      </c>
      <c r="C44" s="36" t="s">
        <v>79</v>
      </c>
      <c r="D44" s="209" t="s">
        <v>24</v>
      </c>
      <c r="E44" s="210" t="s">
        <v>80</v>
      </c>
      <c r="F44" s="35" t="s">
        <v>81</v>
      </c>
      <c r="G44" s="142"/>
      <c r="H44" s="34" t="s">
        <v>20</v>
      </c>
      <c r="I44" s="33" t="s">
        <v>21</v>
      </c>
      <c r="J44" s="35" t="s">
        <v>23</v>
      </c>
      <c r="K44" s="151"/>
    </row>
    <row r="45" spans="1:15" ht="17.45" customHeight="1" x14ac:dyDescent="0.45">
      <c r="A45" s="58" t="s">
        <v>10</v>
      </c>
      <c r="B45" s="217">
        <v>2.59</v>
      </c>
      <c r="C45" s="101"/>
      <c r="D45" s="218">
        <v>10</v>
      </c>
      <c r="E45" s="54"/>
      <c r="F45" s="223"/>
      <c r="G45" s="219" t="s">
        <v>89</v>
      </c>
      <c r="H45" s="27">
        <f>B16*1000</f>
        <v>200000</v>
      </c>
      <c r="I45" s="29">
        <f>C38*1000</f>
        <v>167173.00000000003</v>
      </c>
      <c r="J45" s="205"/>
      <c r="K45" s="151"/>
    </row>
    <row r="46" spans="1:15" ht="17.45" customHeight="1" x14ac:dyDescent="0.45">
      <c r="A46" s="58" t="s">
        <v>5</v>
      </c>
      <c r="B46" s="179">
        <f>(C46/B8)*10000</f>
        <v>3.7179234259526228</v>
      </c>
      <c r="C46" s="206">
        <v>24.5</v>
      </c>
      <c r="D46" s="37">
        <f>C46-$D$45</f>
        <v>14.5</v>
      </c>
      <c r="E46" s="211">
        <f>D46/100</f>
        <v>0.14499999999999999</v>
      </c>
      <c r="F46" s="224">
        <f>F19*E46</f>
        <v>63705.900279855166</v>
      </c>
      <c r="G46" s="219" t="s">
        <v>90</v>
      </c>
      <c r="H46" s="40">
        <f>I25/1000</f>
        <v>1.2190935813516843</v>
      </c>
      <c r="I46" s="39">
        <f>F38/1000</f>
        <v>1.0200023848788544</v>
      </c>
      <c r="J46" s="205"/>
      <c r="K46" s="151"/>
    </row>
    <row r="47" spans="1:15" ht="17.45" customHeight="1" x14ac:dyDescent="0.45">
      <c r="A47" s="58" t="s">
        <v>6</v>
      </c>
      <c r="B47" s="179">
        <f>(C47/B9)*10000</f>
        <v>9.7936726272352139</v>
      </c>
      <c r="C47" s="206">
        <v>89</v>
      </c>
      <c r="D47" s="37">
        <f>C47-$D$45</f>
        <v>79</v>
      </c>
      <c r="E47" s="211">
        <f>D47/100</f>
        <v>0.79</v>
      </c>
      <c r="F47" s="224">
        <f>F20*E47</f>
        <v>131099.77991050959</v>
      </c>
      <c r="G47" s="219" t="s">
        <v>84</v>
      </c>
      <c r="H47" s="27">
        <f>H45*H46</f>
        <v>243818.71627033685</v>
      </c>
      <c r="I47" s="29">
        <f>I45*I46</f>
        <v>170516.85868735277</v>
      </c>
      <c r="J47" s="205"/>
      <c r="K47" s="151"/>
    </row>
    <row r="48" spans="1:15" ht="17.45" customHeight="1" x14ac:dyDescent="0.45">
      <c r="A48" s="58" t="s">
        <v>8</v>
      </c>
      <c r="B48" s="179">
        <f>(C48/B10)*10000</f>
        <v>8.4992714910150546</v>
      </c>
      <c r="C48" s="206">
        <v>87.5</v>
      </c>
      <c r="D48" s="37">
        <f>C48-$D$45</f>
        <v>77.5</v>
      </c>
      <c r="E48" s="211">
        <f>D48/100</f>
        <v>0.77500000000000002</v>
      </c>
      <c r="F48" s="224">
        <f>F21*E48</f>
        <v>48253.114772242159</v>
      </c>
      <c r="G48" s="219" t="s">
        <v>86</v>
      </c>
      <c r="H48" s="207">
        <f>B45</f>
        <v>2.59</v>
      </c>
      <c r="I48" s="208">
        <f>H48</f>
        <v>2.59</v>
      </c>
      <c r="J48" s="205"/>
      <c r="K48" s="151"/>
      <c r="O48" s="166"/>
    </row>
    <row r="49" spans="1:15" ht="17.45" customHeight="1" x14ac:dyDescent="0.45">
      <c r="A49" s="58" t="s">
        <v>7</v>
      </c>
      <c r="B49" s="179">
        <f>(C49/B11)*10000</f>
        <v>9.4011564433302333</v>
      </c>
      <c r="C49" s="206">
        <v>93</v>
      </c>
      <c r="D49" s="37">
        <f>C49-$D$45</f>
        <v>83</v>
      </c>
      <c r="E49" s="211">
        <f>D49/100</f>
        <v>0.83</v>
      </c>
      <c r="F49" s="224">
        <f>F22*E49</f>
        <v>56321.274843075553</v>
      </c>
      <c r="G49" s="219" t="s">
        <v>28</v>
      </c>
      <c r="H49" s="178">
        <f>H47*H48</f>
        <v>631490.47514017241</v>
      </c>
      <c r="I49" s="177">
        <f>I47*I48</f>
        <v>441638.66400024365</v>
      </c>
      <c r="J49" s="205"/>
      <c r="K49" s="151"/>
      <c r="O49" s="166"/>
    </row>
    <row r="50" spans="1:15" ht="17.45" customHeight="1" thickBot="1" x14ac:dyDescent="0.5">
      <c r="A50" s="58" t="s">
        <v>15</v>
      </c>
      <c r="B50" s="179">
        <f>(C50/B12)*10000</f>
        <v>11.747864024722778</v>
      </c>
      <c r="C50" s="176">
        <v>129.25</v>
      </c>
      <c r="D50" s="37">
        <f>C50-$D$45</f>
        <v>119.25</v>
      </c>
      <c r="E50" s="212">
        <f>D50/100</f>
        <v>1.1924999999999999</v>
      </c>
      <c r="F50" s="224">
        <f>F23*E50</f>
        <v>175013.69039242962</v>
      </c>
      <c r="G50" s="219"/>
      <c r="H50" s="28"/>
      <c r="I50" s="31"/>
      <c r="J50" s="205"/>
      <c r="K50" s="151"/>
    </row>
    <row r="51" spans="1:15" ht="17.45" customHeight="1" thickBot="1" x14ac:dyDescent="0.55000000000000004">
      <c r="A51" s="191" t="s">
        <v>29</v>
      </c>
      <c r="B51" s="225"/>
      <c r="C51" s="226"/>
      <c r="D51" s="225"/>
      <c r="E51" s="225"/>
      <c r="F51" s="227">
        <f>SUM(F46:F50)</f>
        <v>474393.76019811211</v>
      </c>
      <c r="G51" s="220"/>
      <c r="H51" s="221">
        <f>-H49</f>
        <v>-631490.47514017241</v>
      </c>
      <c r="I51" s="248">
        <f>I49</f>
        <v>441638.66400024365</v>
      </c>
      <c r="J51" s="249">
        <f>F51+H51+I51</f>
        <v>284541.94905818335</v>
      </c>
      <c r="K51" s="91"/>
    </row>
    <row r="52" spans="1:15" ht="17.45" customHeight="1" thickBot="1" x14ac:dyDescent="0.5">
      <c r="A52" s="273" t="s">
        <v>41</v>
      </c>
      <c r="B52" s="274"/>
      <c r="C52" s="247">
        <f>(C46-D45)/B8 * 10000</f>
        <v>2.2004036602576749</v>
      </c>
      <c r="D52" s="103"/>
      <c r="E52" s="121"/>
      <c r="F52" s="104"/>
      <c r="G52" s="104"/>
      <c r="H52" s="261" t="s">
        <v>91</v>
      </c>
      <c r="I52" s="262"/>
      <c r="J52" s="250">
        <f>J51/(B16*1000)</f>
        <v>1.4227097452909168</v>
      </c>
      <c r="K52" s="91"/>
    </row>
    <row r="53" spans="1:15" ht="13.15" thickBot="1" x14ac:dyDescent="0.4">
      <c r="A53" s="102"/>
      <c r="B53" s="103"/>
      <c r="C53" s="103"/>
      <c r="D53" s="103"/>
      <c r="E53" s="103"/>
      <c r="F53" s="104"/>
      <c r="G53" s="104"/>
      <c r="H53" s="104"/>
      <c r="I53" s="103"/>
      <c r="J53" s="103"/>
      <c r="K53" s="99"/>
    </row>
    <row r="54" spans="1:15" x14ac:dyDescent="0.35">
      <c r="F54" s="108"/>
      <c r="G54" s="108"/>
      <c r="H54" s="108"/>
    </row>
    <row r="55" spans="1:15" ht="17.25" x14ac:dyDescent="0.45">
      <c r="F55" s="124"/>
      <c r="I55" s="122"/>
    </row>
    <row r="56" spans="1:15" x14ac:dyDescent="0.35">
      <c r="A56" s="112"/>
      <c r="B56" s="112"/>
      <c r="C56" s="112"/>
      <c r="D56" s="112"/>
      <c r="E56" s="112"/>
      <c r="F56" s="113"/>
      <c r="G56" s="113"/>
      <c r="H56" s="113"/>
      <c r="I56" s="112"/>
      <c r="J56" s="112"/>
    </row>
    <row r="57" spans="1:15" x14ac:dyDescent="0.35">
      <c r="A57" s="112"/>
      <c r="B57" s="112"/>
      <c r="C57" s="123"/>
      <c r="D57" s="112"/>
      <c r="E57" s="112"/>
      <c r="F57" s="113"/>
      <c r="G57" s="113"/>
      <c r="H57" s="113"/>
      <c r="I57" s="112"/>
      <c r="J57" s="112"/>
    </row>
    <row r="58" spans="1:15" x14ac:dyDescent="0.35">
      <c r="A58" s="112"/>
      <c r="B58" s="112"/>
      <c r="C58" s="112"/>
      <c r="D58" s="112"/>
      <c r="E58" s="112"/>
      <c r="F58" s="113"/>
      <c r="G58" s="113"/>
      <c r="H58" s="113"/>
      <c r="I58" s="106"/>
      <c r="J58" s="112"/>
    </row>
    <row r="59" spans="1:15" ht="17.25" x14ac:dyDescent="0.45">
      <c r="A59" s="112"/>
      <c r="B59" s="112"/>
      <c r="C59" s="112"/>
      <c r="D59" s="112"/>
      <c r="E59" s="112"/>
      <c r="F59" s="113"/>
      <c r="G59" s="113"/>
      <c r="H59" s="113"/>
      <c r="I59" s="114"/>
      <c r="J59" s="112"/>
    </row>
    <row r="60" spans="1:15" x14ac:dyDescent="0.35">
      <c r="A60" s="112"/>
      <c r="B60" s="112"/>
      <c r="C60" s="112"/>
      <c r="D60" s="112"/>
      <c r="E60" s="112"/>
      <c r="F60" s="113"/>
      <c r="G60" s="113"/>
      <c r="H60" s="113"/>
      <c r="I60" s="112"/>
      <c r="J60" s="112"/>
    </row>
    <row r="61" spans="1:15" x14ac:dyDescent="0.35">
      <c r="A61" s="112"/>
      <c r="B61" s="112"/>
      <c r="C61" s="112"/>
      <c r="D61" s="112"/>
      <c r="E61" s="112"/>
      <c r="F61" s="113"/>
      <c r="G61" s="113"/>
      <c r="H61" s="113"/>
      <c r="I61" s="112"/>
      <c r="J61" s="112"/>
    </row>
    <row r="998" spans="6:39" x14ac:dyDescent="0.35">
      <c r="F998" s="107"/>
      <c r="G998" s="107"/>
      <c r="H998" s="107"/>
      <c r="AM998" s="107" t="s">
        <v>30</v>
      </c>
    </row>
    <row r="999" spans="6:39" x14ac:dyDescent="0.35">
      <c r="F999" s="107"/>
      <c r="G999" s="107"/>
      <c r="H999" s="107"/>
      <c r="AM999" s="115">
        <v>41288</v>
      </c>
    </row>
    <row r="1000" spans="6:39" x14ac:dyDescent="0.35">
      <c r="F1000" s="107"/>
      <c r="G1000" s="107"/>
      <c r="H1000" s="107"/>
      <c r="AM1000" s="107" t="s">
        <v>31</v>
      </c>
    </row>
    <row r="1001" spans="6:39" x14ac:dyDescent="0.35">
      <c r="F1001" s="107"/>
      <c r="G1001" s="107"/>
      <c r="H1001" s="107"/>
      <c r="AM1001" s="107" t="s">
        <v>32</v>
      </c>
    </row>
    <row r="1002" spans="6:39" x14ac:dyDescent="0.35">
      <c r="F1002" s="107"/>
      <c r="G1002" s="107"/>
      <c r="H1002" s="107"/>
      <c r="AM1002" s="107" t="s">
        <v>33</v>
      </c>
    </row>
    <row r="1003" spans="6:39" x14ac:dyDescent="0.35">
      <c r="F1003" s="107"/>
      <c r="G1003" s="107"/>
      <c r="H1003" s="107"/>
      <c r="AM1003" s="107" t="s">
        <v>34</v>
      </c>
    </row>
    <row r="1004" spans="6:39" x14ac:dyDescent="0.35">
      <c r="F1004" s="107"/>
      <c r="G1004" s="107"/>
      <c r="H1004" s="107"/>
      <c r="AM1004" s="107" t="s">
        <v>35</v>
      </c>
    </row>
    <row r="1005" spans="6:39" x14ac:dyDescent="0.35">
      <c r="F1005" s="107"/>
      <c r="G1005" s="107"/>
      <c r="H1005" s="107"/>
      <c r="AM1005" s="107" t="s">
        <v>36</v>
      </c>
    </row>
    <row r="1006" spans="6:39" x14ac:dyDescent="0.35">
      <c r="F1006" s="107"/>
      <c r="G1006" s="107"/>
      <c r="H1006" s="107"/>
      <c r="AM1006" s="107" t="s">
        <v>37</v>
      </c>
    </row>
  </sheetData>
  <mergeCells count="18">
    <mergeCell ref="C16:D16"/>
    <mergeCell ref="A39:B39"/>
    <mergeCell ref="H52:I52"/>
    <mergeCell ref="A26:B26"/>
    <mergeCell ref="A1:K2"/>
    <mergeCell ref="I37:J37"/>
    <mergeCell ref="I38:J38"/>
    <mergeCell ref="A52:B52"/>
    <mergeCell ref="H43:I43"/>
    <mergeCell ref="B43:E43"/>
    <mergeCell ref="A41:J42"/>
    <mergeCell ref="C5:C6"/>
    <mergeCell ref="E5:E6"/>
    <mergeCell ref="I30:J30"/>
    <mergeCell ref="I36:J36"/>
    <mergeCell ref="A3:F4"/>
    <mergeCell ref="A14:I15"/>
    <mergeCell ref="A28:J29"/>
  </mergeCells>
  <conditionalFormatting sqref="C52">
    <cfRule type="cellIs" dxfId="0" priority="1" stopIfTrue="1" operator="lessThan">
      <formula>$B$45</formula>
    </cfRule>
  </conditionalFormatting>
  <hyperlinks>
    <hyperlink ref="H11" r:id="rId1"/>
  </hyperlinks>
  <pageMargins left="0.7" right="0.7" top="0.75" bottom="0.75" header="0.3" footer="0.3"/>
  <pageSetup orientation="portrait" r:id="rId2"/>
  <ignoredErrors>
    <ignoredError sqref="H48:I48 E38:F38" formula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'Gas Samples'!$B$3:$E$3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Normal="100" workbookViewId="0">
      <selection activeCell="I26" sqref="I26"/>
    </sheetView>
  </sheetViews>
  <sheetFormatPr defaultRowHeight="12.75" x14ac:dyDescent="0.35"/>
  <cols>
    <col min="1" max="1" width="43.1328125" bestFit="1" customWidth="1"/>
    <col min="2" max="2" width="11.1328125" bestFit="1" customWidth="1"/>
    <col min="3" max="5" width="11.1328125" customWidth="1"/>
    <col min="6" max="6" width="8.46484375" bestFit="1" customWidth="1"/>
    <col min="10" max="10" width="14.86328125" customWidth="1"/>
    <col min="15" max="15" width="7.46484375" customWidth="1"/>
  </cols>
  <sheetData>
    <row r="1" spans="1:16" ht="15" x14ac:dyDescent="0.4">
      <c r="A1" s="171" t="s">
        <v>107</v>
      </c>
      <c r="B1" s="169"/>
      <c r="C1" s="169"/>
      <c r="D1" s="169"/>
      <c r="E1" s="169"/>
      <c r="F1" s="170"/>
    </row>
    <row r="2" spans="1:16" ht="15" x14ac:dyDescent="0.4">
      <c r="A2" s="260" t="s">
        <v>112</v>
      </c>
      <c r="B2" s="171"/>
      <c r="C2" s="171"/>
      <c r="D2" s="171"/>
      <c r="E2" s="171"/>
      <c r="F2" s="172"/>
    </row>
    <row r="3" spans="1:16" ht="45" x14ac:dyDescent="0.4">
      <c r="A3" s="251" t="s">
        <v>55</v>
      </c>
      <c r="B3" s="252" t="s">
        <v>108</v>
      </c>
      <c r="C3" s="252" t="s">
        <v>109</v>
      </c>
      <c r="D3" s="252" t="s">
        <v>110</v>
      </c>
      <c r="E3" s="252" t="s">
        <v>106</v>
      </c>
      <c r="F3" s="253" t="s">
        <v>54</v>
      </c>
      <c r="J3" s="165"/>
      <c r="K3" s="166"/>
      <c r="L3" s="166"/>
      <c r="M3" s="166"/>
      <c r="N3" s="166"/>
      <c r="O3" s="166"/>
      <c r="P3" s="166"/>
    </row>
    <row r="4" spans="1:16" ht="15" x14ac:dyDescent="0.4">
      <c r="A4" s="254" t="s">
        <v>10</v>
      </c>
      <c r="B4" s="173">
        <v>82.6</v>
      </c>
      <c r="C4" s="173">
        <v>77.599999999999994</v>
      </c>
      <c r="D4" s="173">
        <v>73.5</v>
      </c>
      <c r="E4" s="173"/>
      <c r="F4" s="255" t="s">
        <v>56</v>
      </c>
      <c r="H4" s="167"/>
      <c r="I4" s="167"/>
      <c r="J4" s="167"/>
      <c r="K4" s="167"/>
      <c r="L4" s="167"/>
      <c r="M4" s="167"/>
    </row>
    <row r="5" spans="1:16" ht="15" x14ac:dyDescent="0.4">
      <c r="A5" s="254" t="s">
        <v>5</v>
      </c>
      <c r="B5" s="173">
        <v>9.15</v>
      </c>
      <c r="C5" s="173">
        <v>13.2</v>
      </c>
      <c r="D5" s="173">
        <v>15.9</v>
      </c>
      <c r="E5" s="173"/>
      <c r="F5" s="255" t="s">
        <v>57</v>
      </c>
      <c r="I5" s="166"/>
    </row>
    <row r="6" spans="1:16" ht="15" x14ac:dyDescent="0.4">
      <c r="A6" s="254" t="s">
        <v>6</v>
      </c>
      <c r="B6" s="173">
        <v>3.05</v>
      </c>
      <c r="C6" s="173">
        <v>5</v>
      </c>
      <c r="D6" s="173">
        <v>6.2</v>
      </c>
      <c r="E6" s="173"/>
      <c r="F6" s="255" t="s">
        <v>58</v>
      </c>
      <c r="I6" s="166"/>
    </row>
    <row r="7" spans="1:16" ht="15" x14ac:dyDescent="0.4">
      <c r="A7" s="254" t="s">
        <v>8</v>
      </c>
      <c r="B7" s="173">
        <v>1</v>
      </c>
      <c r="C7" s="173">
        <v>1.1000000000000001</v>
      </c>
      <c r="D7" s="173">
        <v>0.4</v>
      </c>
      <c r="E7" s="173"/>
      <c r="F7" s="255" t="s">
        <v>59</v>
      </c>
      <c r="I7" s="166"/>
    </row>
    <row r="8" spans="1:16" ht="15" x14ac:dyDescent="0.4">
      <c r="A8" s="254" t="s">
        <v>7</v>
      </c>
      <c r="B8" s="173">
        <v>1.05</v>
      </c>
      <c r="C8" s="173">
        <v>1.3</v>
      </c>
      <c r="D8" s="173">
        <v>1.3</v>
      </c>
      <c r="E8" s="173"/>
      <c r="F8" s="255" t="s">
        <v>60</v>
      </c>
      <c r="I8" s="166"/>
    </row>
    <row r="9" spans="1:16" ht="15" x14ac:dyDescent="0.4">
      <c r="A9" s="254" t="s">
        <v>15</v>
      </c>
      <c r="B9" s="173">
        <v>2.0499999999999998</v>
      </c>
      <c r="C9" s="173">
        <v>1</v>
      </c>
      <c r="D9" s="173">
        <v>0.8</v>
      </c>
      <c r="E9" s="173"/>
      <c r="F9" s="255" t="s">
        <v>61</v>
      </c>
      <c r="I9" s="166"/>
    </row>
    <row r="10" spans="1:16" ht="15" x14ac:dyDescent="0.4">
      <c r="A10" s="256" t="s">
        <v>13</v>
      </c>
      <c r="B10" s="173">
        <v>1.1000000000000001</v>
      </c>
      <c r="C10" s="173">
        <v>0.8</v>
      </c>
      <c r="D10" s="173">
        <v>2</v>
      </c>
      <c r="E10" s="173"/>
      <c r="F10" s="257" t="s">
        <v>62</v>
      </c>
      <c r="I10" s="166"/>
    </row>
    <row r="11" spans="1:16" s="107" customFormat="1" ht="15" x14ac:dyDescent="0.4">
      <c r="A11" s="174"/>
      <c r="B11" s="174"/>
      <c r="C11" s="174"/>
      <c r="D11" s="174"/>
      <c r="E11" s="174"/>
      <c r="F11" s="175"/>
    </row>
    <row r="12" spans="1:16" s="107" customFormat="1" ht="15" x14ac:dyDescent="0.4">
      <c r="A12" s="174"/>
      <c r="B12" s="174"/>
      <c r="C12" s="174"/>
      <c r="D12" s="174"/>
      <c r="E12" s="174"/>
      <c r="F12" s="175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/>
  </sheetViews>
  <sheetFormatPr defaultRowHeight="12.75" x14ac:dyDescent="0.35"/>
  <cols>
    <col min="2" max="2" width="19" bestFit="1" customWidth="1"/>
  </cols>
  <sheetData>
    <row r="1" spans="1:12" ht="14.25" x14ac:dyDescent="0.45">
      <c r="A1" s="125" t="s">
        <v>42</v>
      </c>
    </row>
    <row r="2" spans="1:12" x14ac:dyDescent="0.35">
      <c r="A2" s="156" t="s">
        <v>63</v>
      </c>
    </row>
    <row r="3" spans="1:12" x14ac:dyDescent="0.35">
      <c r="A3" s="157" t="s">
        <v>64</v>
      </c>
    </row>
    <row r="4" spans="1:12" x14ac:dyDescent="0.35">
      <c r="A4" s="157" t="s">
        <v>73</v>
      </c>
    </row>
    <row r="5" spans="1:12" x14ac:dyDescent="0.35">
      <c r="A5" s="157" t="s">
        <v>65</v>
      </c>
    </row>
    <row r="6" spans="1:12" x14ac:dyDescent="0.35">
      <c r="A6" s="158" t="s">
        <v>66</v>
      </c>
    </row>
    <row r="7" spans="1:12" ht="13.15" x14ac:dyDescent="0.4">
      <c r="B7" s="161" t="s">
        <v>67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</row>
    <row r="8" spans="1:12" ht="13.15" x14ac:dyDescent="0.4">
      <c r="B8" s="160" t="s">
        <v>68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</row>
    <row r="9" spans="1:12" ht="13.15" x14ac:dyDescent="0.4">
      <c r="B9" s="160" t="s">
        <v>69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</row>
    <row r="10" spans="1:12" ht="14.25" x14ac:dyDescent="0.45">
      <c r="A10" s="125" t="s">
        <v>43</v>
      </c>
    </row>
    <row r="11" spans="1:12" x14ac:dyDescent="0.35">
      <c r="A11" s="157" t="s">
        <v>74</v>
      </c>
    </row>
    <row r="12" spans="1:12" x14ac:dyDescent="0.35">
      <c r="A12" t="s">
        <v>44</v>
      </c>
      <c r="B12" s="157" t="s">
        <v>47</v>
      </c>
    </row>
    <row r="13" spans="1:12" x14ac:dyDescent="0.35">
      <c r="A13" t="s">
        <v>45</v>
      </c>
      <c r="B13" s="157" t="s">
        <v>70</v>
      </c>
    </row>
    <row r="14" spans="1:12" x14ac:dyDescent="0.35">
      <c r="A14" t="s">
        <v>46</v>
      </c>
      <c r="B14" s="157" t="s">
        <v>71</v>
      </c>
    </row>
    <row r="15" spans="1:12" x14ac:dyDescent="0.35">
      <c r="A15" t="s">
        <v>48</v>
      </c>
      <c r="B15" s="157" t="s">
        <v>72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Processing Model</vt:lpstr>
      <vt:lpstr>Gas Samples</vt:lpstr>
      <vt:lpstr>Premise and Instructions</vt:lpstr>
    </vt:vector>
  </TitlesOfParts>
  <Company>XTO Energy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XTO</dc:creator>
  <cp:lastModifiedBy>Kelly</cp:lastModifiedBy>
  <dcterms:created xsi:type="dcterms:W3CDTF">2006-10-18T19:54:46Z</dcterms:created>
  <dcterms:modified xsi:type="dcterms:W3CDTF">2018-02-14T15:57:55Z</dcterms:modified>
</cp:coreProperties>
</file>